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mc:AlternateContent xmlns:mc="http://schemas.openxmlformats.org/markup-compatibility/2006">
    <mc:Choice Requires="x15">
      <x15ac:absPath xmlns:x15ac="http://schemas.microsoft.com/office/spreadsheetml/2010/11/ac" url="/Users/corinnedelanghe/Downloads/"/>
    </mc:Choice>
  </mc:AlternateContent>
  <xr:revisionPtr revIDLastSave="27" documentId="13_ncr:1_{99C0ED4A-D753-654B-980A-401CBDEADFD6}" xr6:coauthVersionLast="47" xr6:coauthVersionMax="47" xr10:uidLastSave="{51F5BE26-3B31-490E-8CA4-1F1E9777FAE9}"/>
  <bookViews>
    <workbookView xWindow="33020" yWindow="2480" windowWidth="28800" windowHeight="17400" firstSheet="2" activeTab="1" xr2:uid="{00000000-000D-0000-FFFF-FFFF00000000}"/>
  </bookViews>
  <sheets>
    <sheet name="Conformités" sheetId="4" state="hidden" r:id="rId1"/>
    <sheet name="Consignes" sheetId="10" r:id="rId2"/>
    <sheet name="Autodiagnostic" sheetId="1" r:id="rId3"/>
    <sheet name="Bilan" sheetId="9" r:id="rId4"/>
    <sheet name="Plan d'action" sheetId="11" r:id="rId5"/>
  </sheets>
  <definedNames>
    <definedName name="_xlnm._FilterDatabase" localSheetId="2" hidden="1">Autodiagnostic!$B$2:$I$78</definedName>
    <definedName name="_xlnm._FilterDatabase" localSheetId="4" hidden="1">'Plan d''action'!$F$4:$G$4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a="1"/>
  <c r="E41" i="1" a="1"/>
  <c r="E12" i="1" a="1"/>
  <c r="E38" i="1" a="1"/>
  <c r="E11" i="1" a="1"/>
  <c r="E9" i="1" a="1"/>
  <c r="E31" i="1" a="1"/>
  <c r="E47" i="1" a="1"/>
  <c r="E30" i="1" a="1"/>
  <c r="B4" i="9" a="1"/>
  <c r="B3" i="9" a="1"/>
  <c r="B2" i="9" a="1"/>
  <c r="I78" i="1"/>
  <c r="L81" i="11" s="1"/>
  <c r="E78" i="1" a="1"/>
  <c r="I77" i="1"/>
  <c r="L80" i="11" s="1"/>
  <c r="E77" i="1" a="1"/>
  <c r="I76" i="1"/>
  <c r="L79" i="11" s="1"/>
  <c r="E76" i="1" a="1"/>
  <c r="I75" i="1"/>
  <c r="L78" i="11" s="1"/>
  <c r="E75" i="1" a="1"/>
  <c r="I74" i="1"/>
  <c r="L77" i="11" s="1"/>
  <c r="E74" i="1" a="1"/>
  <c r="I73" i="1"/>
  <c r="L76" i="11" s="1"/>
  <c r="E73" i="1" a="1"/>
  <c r="I72" i="1"/>
  <c r="L75" i="11" s="1"/>
  <c r="E72" i="1" a="1"/>
  <c r="I71" i="1"/>
  <c r="L74" i="11" s="1"/>
  <c r="E71" i="1" a="1"/>
  <c r="I70" i="1"/>
  <c r="L73" i="11" s="1"/>
  <c r="E70" i="1" a="1"/>
  <c r="I68" i="1"/>
  <c r="L72" i="11" s="1"/>
  <c r="E68" i="1" a="1"/>
  <c r="I69" i="1"/>
  <c r="L71" i="11" s="1"/>
  <c r="E69" i="1" a="1"/>
  <c r="I67" i="1"/>
  <c r="L70" i="11" s="1"/>
  <c r="E67" i="1" a="1"/>
  <c r="I66" i="1"/>
  <c r="L69" i="11" s="1"/>
  <c r="E66" i="1" a="1"/>
  <c r="I65" i="1"/>
  <c r="L68" i="11" s="1"/>
  <c r="E65" i="1" a="1"/>
  <c r="I64" i="1"/>
  <c r="L67" i="11" s="1"/>
  <c r="E64" i="1" a="1"/>
  <c r="I63" i="1"/>
  <c r="L66" i="11" s="1"/>
  <c r="E63" i="1" a="1"/>
  <c r="I62" i="1"/>
  <c r="L65" i="11" s="1"/>
  <c r="E62" i="1" a="1"/>
  <c r="I61" i="1"/>
  <c r="L64" i="11" s="1"/>
  <c r="E61" i="1" a="1"/>
  <c r="I60" i="1"/>
  <c r="L63" i="11" s="1"/>
  <c r="E60" i="1" a="1"/>
  <c r="I59" i="1"/>
  <c r="L62" i="11" s="1"/>
  <c r="E59" i="1" a="1"/>
  <c r="I58" i="1"/>
  <c r="L61" i="11" s="1"/>
  <c r="E58" i="1" a="1"/>
  <c r="I57" i="1"/>
  <c r="L60" i="11" s="1"/>
  <c r="E57" i="1" a="1"/>
  <c r="I56" i="1"/>
  <c r="L59" i="11" s="1"/>
  <c r="E56" i="1" a="1"/>
  <c r="I55" i="1"/>
  <c r="L58" i="11" s="1"/>
  <c r="E55" i="1" a="1"/>
  <c r="I54" i="1"/>
  <c r="L57" i="11" s="1"/>
  <c r="E54" i="1" a="1"/>
  <c r="I53" i="1"/>
  <c r="L56" i="11" s="1"/>
  <c r="E53" i="1" a="1"/>
  <c r="I52" i="1"/>
  <c r="L55" i="11" s="1"/>
  <c r="I51" i="1"/>
  <c r="L54" i="11" s="1"/>
  <c r="E51" i="1" a="1"/>
  <c r="I50" i="1"/>
  <c r="L53" i="11" s="1"/>
  <c r="E50" i="1" a="1"/>
  <c r="I49" i="1"/>
  <c r="L52" i="11" s="1"/>
  <c r="E49" i="1" a="1"/>
  <c r="I48" i="1"/>
  <c r="L51" i="11" s="1"/>
  <c r="E48" i="1" a="1"/>
  <c r="I47" i="1"/>
  <c r="L50" i="11" s="1"/>
  <c r="I46" i="1"/>
  <c r="L49" i="11" s="1"/>
  <c r="E46" i="1" a="1"/>
  <c r="I45" i="1"/>
  <c r="L48" i="11" s="1"/>
  <c r="E45" i="1" a="1"/>
  <c r="I43" i="1"/>
  <c r="L47" i="11" s="1"/>
  <c r="E43" i="1" a="1"/>
  <c r="I44" i="1"/>
  <c r="L46" i="11" s="1"/>
  <c r="E44" i="1" a="1"/>
  <c r="I41" i="1"/>
  <c r="L45" i="11" s="1"/>
  <c r="I40" i="1"/>
  <c r="L44" i="11" s="1"/>
  <c r="E40" i="1" a="1"/>
  <c r="I39" i="1"/>
  <c r="L43" i="11" s="1"/>
  <c r="E39" i="1" a="1"/>
  <c r="I38" i="1"/>
  <c r="L42" i="11" s="1"/>
  <c r="I37" i="1"/>
  <c r="L41" i="11" s="1"/>
  <c r="E37" i="1" a="1"/>
  <c r="I42" i="1"/>
  <c r="L40" i="11" s="1"/>
  <c r="E42" i="1" a="1"/>
  <c r="I36" i="1"/>
  <c r="L39" i="11" s="1"/>
  <c r="E36" i="1" a="1"/>
  <c r="I35" i="1"/>
  <c r="L38" i="11" s="1"/>
  <c r="E35" i="1" a="1"/>
  <c r="I34" i="1"/>
  <c r="L37" i="11" s="1"/>
  <c r="E34" i="1" a="1"/>
  <c r="I33" i="1"/>
  <c r="L36" i="11" s="1"/>
  <c r="E33" i="1" a="1"/>
  <c r="I32" i="1"/>
  <c r="L35" i="11" s="1"/>
  <c r="E32" i="1" a="1"/>
  <c r="I31" i="1"/>
  <c r="L34" i="11" s="1"/>
  <c r="I30" i="1"/>
  <c r="L33" i="11" s="1"/>
  <c r="I29" i="1"/>
  <c r="L32" i="11" s="1"/>
  <c r="E29" i="1" a="1"/>
  <c r="I28" i="1"/>
  <c r="L31" i="11" s="1"/>
  <c r="E28" i="1" a="1"/>
  <c r="I27" i="1"/>
  <c r="L30" i="11" s="1"/>
  <c r="E27" i="1" a="1"/>
  <c r="I26" i="1"/>
  <c r="L29" i="11" s="1"/>
  <c r="E26" i="1" a="1"/>
  <c r="I23" i="1"/>
  <c r="L28" i="11" s="1"/>
  <c r="E23" i="1" a="1"/>
  <c r="I22" i="1"/>
  <c r="L27" i="11" s="1"/>
  <c r="E22" i="1" a="1"/>
  <c r="I25" i="1"/>
  <c r="L26" i="11" s="1"/>
  <c r="E25" i="1" a="1"/>
  <c r="I24" i="1"/>
  <c r="L25" i="11" s="1"/>
  <c r="E24" i="1" a="1"/>
  <c r="I21" i="1"/>
  <c r="L24" i="11" s="1"/>
  <c r="E21" i="1" a="1"/>
  <c r="I20" i="1"/>
  <c r="L23" i="11" s="1"/>
  <c r="E20" i="1" a="1"/>
  <c r="I19" i="1"/>
  <c r="L22" i="11" s="1"/>
  <c r="E19" i="1" a="1"/>
  <c r="I18" i="1"/>
  <c r="L21" i="11" s="1"/>
  <c r="E18" i="1" a="1"/>
  <c r="I17" i="1"/>
  <c r="L20" i="11" s="1"/>
  <c r="E17" i="1" a="1"/>
  <c r="I16" i="1"/>
  <c r="L19" i="11" s="1"/>
  <c r="E16" i="1" a="1"/>
  <c r="I14" i="1"/>
  <c r="L18" i="11" s="1"/>
  <c r="E14" i="1" a="1"/>
  <c r="I13" i="1"/>
  <c r="L17" i="11" s="1"/>
  <c r="E13" i="1" a="1"/>
  <c r="I12" i="1"/>
  <c r="L16" i="11" s="1"/>
  <c r="I11" i="1"/>
  <c r="L15" i="11" s="1"/>
  <c r="I15" i="1"/>
  <c r="L14" i="11" s="1"/>
  <c r="E15" i="1" a="1"/>
  <c r="I10" i="1"/>
  <c r="L13" i="11" s="1"/>
  <c r="E10" i="1" a="1"/>
  <c r="I9" i="1"/>
  <c r="L12" i="11" s="1"/>
  <c r="I8" i="1"/>
  <c r="L11" i="11" s="1"/>
  <c r="E8" i="1" a="1"/>
  <c r="I7" i="1"/>
  <c r="L10" i="11" s="1"/>
  <c r="E7" i="1" a="1"/>
  <c r="I6" i="1"/>
  <c r="L9" i="11" s="1"/>
  <c r="E6" i="1" a="1"/>
  <c r="I5" i="1"/>
  <c r="L8" i="11" s="1"/>
  <c r="E5" i="1" a="1"/>
  <c r="I4" i="1"/>
  <c r="L7" i="11" s="1"/>
  <c r="E4" i="1" a="1"/>
  <c r="I3" i="1"/>
  <c r="L6" i="11" s="1"/>
  <c r="E3" i="1" a="1"/>
  <c r="I2" i="1"/>
  <c r="L5" i="11" s="1"/>
  <c r="E2" i="1" a="1"/>
  <c r="K8" i="11" l="1"/>
  <c r="K9" i="11"/>
  <c r="K11" i="11"/>
  <c r="K13" i="11"/>
  <c r="K18" i="11"/>
  <c r="K21" i="11"/>
  <c r="K23" i="11"/>
  <c r="K26" i="11"/>
  <c r="K27" i="11"/>
  <c r="K28" i="11"/>
  <c r="K31" i="11"/>
  <c r="K36" i="11"/>
  <c r="K63" i="11"/>
  <c r="K64" i="11"/>
  <c r="K65" i="11"/>
  <c r="K66" i="11"/>
  <c r="K67" i="11"/>
  <c r="K68" i="11"/>
  <c r="K69" i="11"/>
  <c r="K70" i="11"/>
  <c r="K71" i="11"/>
  <c r="K7" i="11"/>
  <c r="K10" i="11"/>
  <c r="K15" i="11"/>
  <c r="C15" i="11" s="1"/>
  <c r="K24" i="11"/>
  <c r="K25" i="11"/>
  <c r="K33" i="11"/>
  <c r="K34" i="11"/>
  <c r="K35" i="11"/>
  <c r="K38" i="11"/>
  <c r="K72" i="11"/>
  <c r="K73" i="11"/>
  <c r="K74" i="11"/>
  <c r="K75" i="11"/>
  <c r="K76" i="11"/>
  <c r="K77" i="11"/>
  <c r="K78" i="11"/>
  <c r="K79" i="11"/>
  <c r="K80" i="11"/>
  <c r="K81" i="11"/>
  <c r="K5" i="11"/>
  <c r="K16" i="11"/>
  <c r="K17" i="11"/>
  <c r="K19" i="11"/>
  <c r="K20" i="11"/>
  <c r="K22" i="11"/>
  <c r="K29" i="11"/>
  <c r="K32" i="11"/>
  <c r="K37" i="11"/>
  <c r="K39" i="11"/>
  <c r="K40" i="11"/>
  <c r="K41" i="11"/>
  <c r="K43" i="11"/>
  <c r="K44" i="11"/>
  <c r="K45" i="11"/>
  <c r="K46" i="11"/>
  <c r="K47" i="11"/>
  <c r="K48" i="11"/>
  <c r="K49" i="11"/>
  <c r="K50" i="11"/>
  <c r="K51" i="11"/>
  <c r="K52" i="11"/>
  <c r="K53" i="11"/>
  <c r="K6" i="11"/>
  <c r="K12" i="11"/>
  <c r="K14" i="11"/>
  <c r="K30" i="11"/>
  <c r="K42" i="11"/>
  <c r="K54" i="11"/>
  <c r="K55" i="11"/>
  <c r="K56" i="11"/>
  <c r="K57" i="11"/>
  <c r="K58" i="11"/>
  <c r="K59" i="11"/>
  <c r="K60" i="11"/>
  <c r="K61" i="11"/>
  <c r="K62" i="11"/>
  <c r="C3" i="11"/>
  <c r="C8" i="11" l="1"/>
  <c r="H8" i="11"/>
  <c r="B8" i="11"/>
  <c r="E8" i="11"/>
  <c r="G8" i="11"/>
  <c r="A8" i="11"/>
  <c r="D8" i="11"/>
  <c r="F8" i="11"/>
  <c r="A9" i="11"/>
  <c r="D9" i="11"/>
  <c r="G9" i="11"/>
  <c r="B9" i="11"/>
  <c r="F9" i="11"/>
  <c r="H9" i="11"/>
  <c r="C9" i="11"/>
  <c r="E9" i="11"/>
  <c r="A11" i="11"/>
  <c r="F11" i="11"/>
  <c r="C11" i="11"/>
  <c r="E11" i="11"/>
  <c r="H11" i="11"/>
  <c r="B11" i="11"/>
  <c r="D11" i="11"/>
  <c r="G11" i="11"/>
  <c r="D13" i="11"/>
  <c r="H13" i="11"/>
  <c r="A13" i="11"/>
  <c r="B13" i="11"/>
  <c r="C13" i="11"/>
  <c r="E13" i="11"/>
  <c r="G13" i="11"/>
  <c r="F13" i="11"/>
  <c r="C18" i="11"/>
  <c r="H18" i="11"/>
  <c r="F18" i="11"/>
  <c r="A18" i="11"/>
  <c r="D18" i="11"/>
  <c r="G18" i="11"/>
  <c r="B18" i="11"/>
  <c r="E18" i="11"/>
  <c r="B21" i="11"/>
  <c r="C21" i="11"/>
  <c r="F21" i="11"/>
  <c r="G21" i="11"/>
  <c r="D21" i="11"/>
  <c r="H21" i="11"/>
  <c r="A21" i="11"/>
  <c r="E21" i="11"/>
  <c r="A23" i="11"/>
  <c r="E23" i="11"/>
  <c r="B23" i="11"/>
  <c r="C23" i="11"/>
  <c r="F23" i="11"/>
  <c r="H23" i="11"/>
  <c r="D23" i="11"/>
  <c r="G23" i="11"/>
  <c r="B26" i="11"/>
  <c r="C26" i="11"/>
  <c r="F26" i="11"/>
  <c r="D26" i="11"/>
  <c r="H26" i="11"/>
  <c r="G26" i="11"/>
  <c r="A26" i="11"/>
  <c r="E26" i="11"/>
  <c r="G27" i="11"/>
  <c r="A27" i="11"/>
  <c r="D27" i="11"/>
  <c r="H27" i="11"/>
  <c r="C27" i="11"/>
  <c r="F27" i="11"/>
  <c r="B27" i="11"/>
  <c r="E27" i="11"/>
  <c r="B28" i="11"/>
  <c r="G28" i="11"/>
  <c r="A28" i="11"/>
  <c r="D28" i="11"/>
  <c r="H28" i="11"/>
  <c r="C28" i="11"/>
  <c r="F28" i="11"/>
  <c r="E28" i="11"/>
  <c r="C31" i="11"/>
  <c r="F31" i="11"/>
  <c r="B31" i="11"/>
  <c r="E31" i="11"/>
  <c r="H31" i="11"/>
  <c r="A31" i="11"/>
  <c r="G31" i="11"/>
  <c r="D31" i="11"/>
  <c r="G36" i="11"/>
  <c r="D36" i="11"/>
  <c r="E36" i="11"/>
  <c r="F36" i="11"/>
  <c r="H36" i="11"/>
  <c r="A36" i="11"/>
  <c r="B36" i="11"/>
  <c r="C36" i="11"/>
  <c r="A63" i="11"/>
  <c r="B63" i="11"/>
  <c r="C63" i="11"/>
  <c r="D63" i="11"/>
  <c r="E63" i="11"/>
  <c r="F63" i="11"/>
  <c r="G63" i="11"/>
  <c r="H63" i="11"/>
  <c r="A64" i="11"/>
  <c r="B64" i="11"/>
  <c r="C64" i="11"/>
  <c r="D64" i="11"/>
  <c r="E64" i="11"/>
  <c r="F64" i="11"/>
  <c r="G64" i="11"/>
  <c r="H64" i="11"/>
  <c r="A65" i="11"/>
  <c r="B65" i="11"/>
  <c r="C65" i="11"/>
  <c r="D65" i="11"/>
  <c r="E65" i="11"/>
  <c r="F65" i="11"/>
  <c r="G65" i="11"/>
  <c r="H65" i="11"/>
  <c r="A66" i="11"/>
  <c r="B66" i="11"/>
  <c r="C66" i="11"/>
  <c r="D66" i="11"/>
  <c r="E66" i="11"/>
  <c r="F66" i="11"/>
  <c r="G66" i="11"/>
  <c r="H66" i="11"/>
  <c r="A67" i="11"/>
  <c r="B67" i="11"/>
  <c r="C67" i="11"/>
  <c r="D67" i="11"/>
  <c r="E67" i="11"/>
  <c r="F67" i="11"/>
  <c r="G67" i="11"/>
  <c r="H67" i="11"/>
  <c r="A68" i="11"/>
  <c r="B68" i="11"/>
  <c r="C68" i="11"/>
  <c r="D68" i="11"/>
  <c r="E68" i="11"/>
  <c r="F68" i="11"/>
  <c r="G68" i="11"/>
  <c r="H68" i="11"/>
  <c r="A69" i="11"/>
  <c r="B69" i="11"/>
  <c r="C69" i="11"/>
  <c r="D69" i="11"/>
  <c r="E69" i="11"/>
  <c r="F69" i="11"/>
  <c r="G69" i="11"/>
  <c r="H69" i="11"/>
  <c r="A70" i="11"/>
  <c r="B70" i="11"/>
  <c r="C70" i="11"/>
  <c r="D70" i="11"/>
  <c r="E70" i="11"/>
  <c r="F70" i="11"/>
  <c r="G70" i="11"/>
  <c r="H70" i="11"/>
  <c r="A71" i="11"/>
  <c r="B71" i="11"/>
  <c r="C71" i="11"/>
  <c r="D71" i="11"/>
  <c r="E71" i="11"/>
  <c r="F71" i="11"/>
  <c r="G71" i="11"/>
  <c r="H71" i="11"/>
  <c r="A7" i="11"/>
  <c r="B7" i="11"/>
  <c r="H7" i="11"/>
  <c r="C7" i="11"/>
  <c r="E7" i="11"/>
  <c r="G7" i="11"/>
  <c r="F7" i="11"/>
  <c r="D7" i="11"/>
  <c r="A10" i="11"/>
  <c r="E10" i="11"/>
  <c r="G10" i="11"/>
  <c r="C10" i="11"/>
  <c r="F10" i="11"/>
  <c r="H10" i="11"/>
  <c r="B10" i="11"/>
  <c r="D10" i="11"/>
  <c r="E15" i="11"/>
  <c r="F15" i="11"/>
  <c r="G15" i="11"/>
  <c r="B15" i="11"/>
  <c r="H15" i="11"/>
  <c r="A15" i="11"/>
  <c r="D15" i="11"/>
  <c r="C24" i="11"/>
  <c r="E24" i="11"/>
  <c r="B24" i="11"/>
  <c r="G24" i="11"/>
  <c r="F24" i="11"/>
  <c r="H24" i="11"/>
  <c r="A24" i="11"/>
  <c r="D24" i="11"/>
  <c r="C25" i="11"/>
  <c r="F25" i="11"/>
  <c r="B25" i="11"/>
  <c r="D25" i="11"/>
  <c r="G25" i="11"/>
  <c r="E25" i="11"/>
  <c r="H25" i="11"/>
  <c r="A25" i="11"/>
  <c r="C33" i="11"/>
  <c r="F33" i="11"/>
  <c r="D33" i="11"/>
  <c r="H33" i="11"/>
  <c r="A33" i="11"/>
  <c r="G33" i="11"/>
  <c r="B33" i="11"/>
  <c r="E33" i="11"/>
  <c r="C34" i="11"/>
  <c r="D34" i="11"/>
  <c r="H34" i="11"/>
  <c r="G34" i="11"/>
  <c r="A34" i="11"/>
  <c r="B34" i="11"/>
  <c r="E34" i="11"/>
  <c r="F34" i="11"/>
  <c r="C35" i="11"/>
  <c r="F35" i="11"/>
  <c r="A35" i="11"/>
  <c r="D35" i="11"/>
  <c r="G35" i="11"/>
  <c r="B35" i="11"/>
  <c r="H35" i="11"/>
  <c r="E35" i="11"/>
  <c r="G38" i="11"/>
  <c r="C38" i="11"/>
  <c r="H38" i="11"/>
  <c r="A38" i="11"/>
  <c r="E38" i="11"/>
  <c r="F38" i="11"/>
  <c r="B38" i="11"/>
  <c r="D38" i="11"/>
  <c r="A72" i="11"/>
  <c r="B72" i="11"/>
  <c r="C72" i="11"/>
  <c r="D72" i="11"/>
  <c r="E72" i="11"/>
  <c r="F72" i="11"/>
  <c r="G72" i="11"/>
  <c r="H72" i="11"/>
  <c r="A73" i="11"/>
  <c r="B73" i="11"/>
  <c r="C73" i="11"/>
  <c r="D73" i="11"/>
  <c r="E73" i="11"/>
  <c r="F73" i="11"/>
  <c r="G73" i="11"/>
  <c r="H73" i="11"/>
  <c r="A74" i="11"/>
  <c r="B74" i="11"/>
  <c r="C74" i="11"/>
  <c r="D74" i="11"/>
  <c r="E74" i="11"/>
  <c r="F74" i="11"/>
  <c r="G74" i="11"/>
  <c r="H74" i="11"/>
  <c r="A75" i="11"/>
  <c r="B75" i="11"/>
  <c r="C75" i="11"/>
  <c r="D75" i="11"/>
  <c r="E75" i="11"/>
  <c r="F75" i="11"/>
  <c r="G75" i="11"/>
  <c r="H75" i="11"/>
  <c r="A76" i="11"/>
  <c r="B76" i="11"/>
  <c r="C76" i="11"/>
  <c r="D76" i="11"/>
  <c r="E76" i="11"/>
  <c r="F76" i="11"/>
  <c r="G76" i="11"/>
  <c r="H76" i="11"/>
  <c r="A77" i="11"/>
  <c r="B77" i="11"/>
  <c r="C77" i="11"/>
  <c r="D77" i="11"/>
  <c r="E77" i="11"/>
  <c r="F77" i="11"/>
  <c r="G77" i="11"/>
  <c r="H77" i="11"/>
  <c r="A78" i="11"/>
  <c r="B78" i="11"/>
  <c r="C78" i="11"/>
  <c r="D78" i="11"/>
  <c r="E78" i="11"/>
  <c r="F78" i="11"/>
  <c r="G78" i="11"/>
  <c r="H78" i="11"/>
  <c r="A79" i="11"/>
  <c r="B79" i="11"/>
  <c r="C79" i="11"/>
  <c r="D79" i="11"/>
  <c r="E79" i="11"/>
  <c r="F79" i="11"/>
  <c r="G79" i="11"/>
  <c r="H79" i="11"/>
  <c r="A80" i="11"/>
  <c r="B80" i="11"/>
  <c r="C80" i="11"/>
  <c r="D80" i="11"/>
  <c r="E80" i="11"/>
  <c r="F80" i="11"/>
  <c r="G80" i="11"/>
  <c r="H80" i="11"/>
  <c r="A81" i="11"/>
  <c r="B81" i="11"/>
  <c r="C81" i="11"/>
  <c r="D81" i="11"/>
  <c r="E81" i="11"/>
  <c r="F81" i="11"/>
  <c r="G81" i="11"/>
  <c r="H81" i="11"/>
  <c r="C5" i="11"/>
  <c r="D5" i="11"/>
  <c r="G5" i="11"/>
  <c r="B5" i="11"/>
  <c r="E5" i="11"/>
  <c r="H5" i="11"/>
  <c r="A5" i="11"/>
  <c r="F5" i="11"/>
  <c r="C16" i="11"/>
  <c r="G16" i="11"/>
  <c r="E16" i="11"/>
  <c r="H16" i="11"/>
  <c r="A16" i="11"/>
  <c r="B16" i="11"/>
  <c r="D16" i="11"/>
  <c r="F16" i="11"/>
  <c r="G17" i="11"/>
  <c r="A17" i="11"/>
  <c r="D17" i="11"/>
  <c r="F17" i="11"/>
  <c r="H17" i="11"/>
  <c r="B17" i="11"/>
  <c r="E17" i="11"/>
  <c r="C17" i="11"/>
  <c r="A19" i="11"/>
  <c r="B19" i="11"/>
  <c r="F19" i="11"/>
  <c r="G19" i="11"/>
  <c r="D19" i="11"/>
  <c r="H19" i="11"/>
  <c r="C19" i="11"/>
  <c r="E19" i="11"/>
  <c r="E20" i="11"/>
  <c r="C20" i="11"/>
  <c r="F20" i="11"/>
  <c r="H20" i="11"/>
  <c r="G20" i="11"/>
  <c r="A20" i="11"/>
  <c r="B20" i="11"/>
  <c r="D20" i="11"/>
  <c r="B22" i="11"/>
  <c r="H22" i="11"/>
  <c r="A22" i="11"/>
  <c r="E22" i="11"/>
  <c r="G22" i="11"/>
  <c r="C22" i="11"/>
  <c r="F22" i="11"/>
  <c r="D22" i="11"/>
  <c r="E29" i="11"/>
  <c r="B29" i="11"/>
  <c r="G29" i="11"/>
  <c r="C29" i="11"/>
  <c r="H29" i="11"/>
  <c r="A29" i="11"/>
  <c r="D29" i="11"/>
  <c r="F29" i="11"/>
  <c r="C32" i="11"/>
  <c r="F32" i="11"/>
  <c r="E32" i="11"/>
  <c r="H32" i="11"/>
  <c r="B32" i="11"/>
  <c r="G32" i="11"/>
  <c r="A32" i="11"/>
  <c r="D32" i="11"/>
  <c r="A37" i="11"/>
  <c r="G37" i="11"/>
  <c r="C37" i="11"/>
  <c r="F37" i="11"/>
  <c r="H37" i="11"/>
  <c r="B37" i="11"/>
  <c r="E37" i="11"/>
  <c r="D37" i="11"/>
  <c r="B39" i="11"/>
  <c r="F39" i="11"/>
  <c r="A39" i="11"/>
  <c r="C39" i="11"/>
  <c r="D39" i="11"/>
  <c r="H39" i="11"/>
  <c r="E39" i="11"/>
  <c r="G39" i="11"/>
  <c r="D40" i="11"/>
  <c r="E40" i="11"/>
  <c r="F40" i="11"/>
  <c r="H40" i="11"/>
  <c r="C40" i="11"/>
  <c r="G40" i="11"/>
  <c r="A40" i="11"/>
  <c r="B40" i="11"/>
  <c r="A41" i="11"/>
  <c r="D41" i="11"/>
  <c r="F41" i="11"/>
  <c r="H41" i="11"/>
  <c r="E41" i="11"/>
  <c r="G41" i="11"/>
  <c r="B41" i="11"/>
  <c r="C41" i="11"/>
  <c r="A43" i="11"/>
  <c r="B43" i="11"/>
  <c r="D43" i="11"/>
  <c r="F43" i="11"/>
  <c r="G43" i="11"/>
  <c r="H43" i="11"/>
  <c r="C43" i="11"/>
  <c r="E43" i="11"/>
  <c r="A44" i="11"/>
  <c r="C44" i="11"/>
  <c r="E44" i="11"/>
  <c r="F44" i="11"/>
  <c r="H44" i="11"/>
  <c r="B44" i="11"/>
  <c r="D44" i="11"/>
  <c r="G44" i="11"/>
  <c r="A45" i="11"/>
  <c r="B45" i="11"/>
  <c r="C45" i="11"/>
  <c r="D45" i="11"/>
  <c r="E45" i="11"/>
  <c r="F45" i="11"/>
  <c r="G45" i="11"/>
  <c r="H45" i="11"/>
  <c r="A46" i="11"/>
  <c r="B46" i="11"/>
  <c r="C46" i="11"/>
  <c r="D46" i="11"/>
  <c r="E46" i="11"/>
  <c r="F46" i="11"/>
  <c r="G46" i="11"/>
  <c r="H46" i="11"/>
  <c r="A47" i="11"/>
  <c r="B47" i="11"/>
  <c r="C47" i="11"/>
  <c r="D47" i="11"/>
  <c r="E47" i="11"/>
  <c r="F47" i="11"/>
  <c r="G47" i="11"/>
  <c r="H47" i="11"/>
  <c r="A48" i="11"/>
  <c r="B48" i="11"/>
  <c r="C48" i="11"/>
  <c r="D48" i="11"/>
  <c r="E48" i="11"/>
  <c r="F48" i="11"/>
  <c r="G48" i="11"/>
  <c r="H48" i="11"/>
  <c r="A49" i="11"/>
  <c r="B49" i="11"/>
  <c r="C49" i="11"/>
  <c r="D49" i="11"/>
  <c r="E49" i="11"/>
  <c r="F49" i="11"/>
  <c r="G49" i="11"/>
  <c r="H49" i="11"/>
  <c r="A50" i="11"/>
  <c r="B50" i="11"/>
  <c r="C50" i="11"/>
  <c r="D50" i="11"/>
  <c r="E50" i="11"/>
  <c r="F50" i="11"/>
  <c r="G50" i="11"/>
  <c r="H50" i="11"/>
  <c r="A51" i="11"/>
  <c r="B51" i="11"/>
  <c r="C51" i="11"/>
  <c r="D51" i="11"/>
  <c r="E51" i="11"/>
  <c r="F51" i="11"/>
  <c r="G51" i="11"/>
  <c r="H51" i="11"/>
  <c r="A52" i="11"/>
  <c r="B52" i="11"/>
  <c r="C52" i="11"/>
  <c r="D52" i="11"/>
  <c r="E52" i="11"/>
  <c r="F52" i="11"/>
  <c r="G52" i="11"/>
  <c r="H52" i="11"/>
  <c r="A53" i="11"/>
  <c r="B53" i="11"/>
  <c r="C53" i="11"/>
  <c r="D53" i="11"/>
  <c r="E53" i="11"/>
  <c r="F53" i="11"/>
  <c r="G53" i="11"/>
  <c r="H53" i="11"/>
  <c r="E6" i="11"/>
  <c r="F6" i="11"/>
  <c r="H6" i="11"/>
  <c r="A6" i="11"/>
  <c r="B6" i="11"/>
  <c r="D6" i="11"/>
  <c r="G6" i="11"/>
  <c r="C6" i="11"/>
  <c r="B12" i="11"/>
  <c r="E12" i="11"/>
  <c r="H12" i="11"/>
  <c r="A12" i="11"/>
  <c r="D12" i="11"/>
  <c r="G12" i="11"/>
  <c r="C12" i="11"/>
  <c r="F12" i="11"/>
  <c r="B14" i="11"/>
  <c r="A14" i="11"/>
  <c r="E14" i="11"/>
  <c r="H14" i="11"/>
  <c r="C14" i="11"/>
  <c r="F14" i="11"/>
  <c r="D14" i="11"/>
  <c r="G14" i="11"/>
  <c r="D30" i="11"/>
  <c r="H30" i="11"/>
  <c r="F30" i="11"/>
  <c r="B30" i="11"/>
  <c r="G30" i="11"/>
  <c r="A30" i="11"/>
  <c r="C30" i="11"/>
  <c r="E30" i="11"/>
  <c r="B42" i="11"/>
  <c r="D42" i="11"/>
  <c r="G42" i="11"/>
  <c r="A42" i="11"/>
  <c r="E42" i="11"/>
  <c r="H42" i="11"/>
  <c r="C42" i="11"/>
  <c r="F42" i="11"/>
  <c r="A54" i="11"/>
  <c r="B54" i="11"/>
  <c r="C54" i="11"/>
  <c r="D54" i="11"/>
  <c r="E54" i="11"/>
  <c r="F54" i="11"/>
  <c r="G54" i="11"/>
  <c r="H54" i="11"/>
  <c r="A55" i="11"/>
  <c r="B55" i="11"/>
  <c r="C55" i="11"/>
  <c r="D55" i="11"/>
  <c r="E55" i="11"/>
  <c r="F55" i="11"/>
  <c r="G55" i="11"/>
  <c r="H55" i="11"/>
  <c r="A56" i="11"/>
  <c r="B56" i="11"/>
  <c r="C56" i="11"/>
  <c r="D56" i="11"/>
  <c r="E56" i="11"/>
  <c r="F56" i="11"/>
  <c r="G56" i="11"/>
  <c r="H56" i="11"/>
  <c r="A57" i="11"/>
  <c r="B57" i="11"/>
  <c r="C57" i="11"/>
  <c r="D57" i="11"/>
  <c r="E57" i="11"/>
  <c r="F57" i="11"/>
  <c r="G57" i="11"/>
  <c r="H57" i="11"/>
  <c r="A58" i="11"/>
  <c r="B58" i="11"/>
  <c r="C58" i="11"/>
  <c r="D58" i="11"/>
  <c r="E58" i="11"/>
  <c r="F58" i="11"/>
  <c r="G58" i="11"/>
  <c r="H58" i="11"/>
  <c r="A59" i="11"/>
  <c r="B59" i="11"/>
  <c r="C59" i="11"/>
  <c r="D59" i="11"/>
  <c r="E59" i="11"/>
  <c r="F59" i="11"/>
  <c r="G59" i="11"/>
  <c r="H59" i="11"/>
  <c r="A60" i="11"/>
  <c r="B60" i="11"/>
  <c r="C60" i="11"/>
  <c r="D60" i="11"/>
  <c r="E60" i="11"/>
  <c r="F60" i="11"/>
  <c r="G60" i="11"/>
  <c r="H60" i="11"/>
  <c r="A61" i="11"/>
  <c r="B61" i="11"/>
  <c r="C61" i="11"/>
  <c r="D61" i="11"/>
  <c r="E61" i="11"/>
  <c r="F61" i="11"/>
  <c r="G61" i="11"/>
  <c r="H61" i="11"/>
  <c r="A62" i="11"/>
  <c r="B62" i="11"/>
  <c r="C62" i="11"/>
  <c r="D62" i="11"/>
  <c r="E62" i="11"/>
  <c r="F62" i="11"/>
  <c r="G62" i="11"/>
  <c r="H62" i="11"/>
  <c r="B4" i="9" l="1"/>
  <c r="B3" i="9"/>
  <c r="B2" i="9"/>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C3" i="9" s="1"/>
  <c r="E8" i="1"/>
  <c r="E7" i="1"/>
  <c r="E6" i="1"/>
  <c r="E5" i="1"/>
  <c r="E4" i="1"/>
  <c r="E3" i="1"/>
  <c r="E2" i="1"/>
  <c r="C2" i="9" s="1"/>
  <c r="E2" i="9" l="1"/>
  <c r="B5" i="9"/>
  <c r="C4" i="9" s="1"/>
  <c r="D2" i="9"/>
  <c r="D3" i="9"/>
  <c r="E3" i="9"/>
  <c r="D4" i="9"/>
  <c r="D5" i="9" l="1"/>
  <c r="E4" i="9"/>
  <c r="C5" i="9"/>
  <c r="E5" i="9"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<sst xmlns="http://schemas.openxmlformats.org/spreadsheetml/2006/main" count="649" uniqueCount="360">
  <si>
    <t>Oui/Non</t>
  </si>
  <si>
    <t>Toujours</t>
  </si>
  <si>
    <t>Oui</t>
  </si>
  <si>
    <t>Parfois</t>
  </si>
  <si>
    <t>Non</t>
  </si>
  <si>
    <t>Jamais</t>
  </si>
  <si>
    <t>Non applicable</t>
  </si>
  <si>
    <t xml:space="preserve">     </t>
  </si>
  <si>
    <t>Consignes d'utilisation de l'autodiagnostic</t>
  </si>
  <si>
    <t>Ce document comprend 4 onglets : Consignes, Autodiagnostic, Bilan et Plan d'action</t>
  </si>
  <si>
    <t>Etape 1 : Remplir l'autodiagnostic</t>
  </si>
  <si>
    <t>L’autodiagnostic est organisé en plusieurs colonnes :</t>
  </si>
  <si>
    <t>Colonne A – Thématique</t>
  </si>
  <si>
    <t>Les questions sont regroupées par thématiques. Elles peuvent porter sur les infrastructures, l’expérience des visiteurs ou l’organisation interne de l’événement.</t>
  </si>
  <si>
    <t>Colonnes B et C – Question et précisions</t>
  </si>
  <si>
    <t>La colonne B présente la question d’accessibilité en lien avec la thématique. La colonne C apporte, lorsque nécessaire, des précisions pour mieux comprendre ce qui est attendu.</t>
  </si>
  <si>
    <t>Colonne D – Réponse</t>
  </si>
  <si>
    <r>
      <t xml:space="preserve">C’est dans cette colonne que vous devez répondre aux questions à l’aide d’une liste déroulante. Les choix proposés sont généralement </t>
    </r>
    <r>
      <rPr>
        <b/>
        <sz val="11"/>
        <color rgb="FF000000"/>
        <rFont val="Aptos Narrow"/>
        <family val="2"/>
      </rPr>
      <t>Oui</t>
    </r>
    <r>
      <rPr>
        <sz val="11"/>
        <color rgb="FF000000"/>
        <rFont val="Aptos Narrow"/>
        <family val="2"/>
      </rPr>
      <t xml:space="preserve"> ou </t>
    </r>
    <r>
      <rPr>
        <b/>
        <sz val="11"/>
        <color rgb="FF000000"/>
        <rFont val="Aptos Narrow"/>
        <family val="2"/>
      </rPr>
      <t>Non</t>
    </r>
    <r>
      <rPr>
        <sz val="11"/>
        <color rgb="FF000000"/>
        <rFont val="Aptos Narrow"/>
        <family val="2"/>
      </rPr>
      <t xml:space="preserve">, avec parfois l’option </t>
    </r>
    <r>
      <rPr>
        <b/>
        <sz val="11"/>
        <color rgb="FF000000"/>
        <rFont val="Aptos Narrow"/>
        <family val="2"/>
      </rPr>
      <t>Non applicable</t>
    </r>
    <r>
      <rPr>
        <sz val="11"/>
        <color rgb="FF000000"/>
        <rFont val="Aptos Narrow"/>
        <family val="2"/>
      </rPr>
      <t>.</t>
    </r>
  </si>
  <si>
    <r>
      <rPr>
        <b/>
        <sz val="12"/>
        <color rgb="FF000000"/>
        <rFont val="Aptos Narrow"/>
      </rPr>
      <t xml:space="preserve">Colonne E – Score </t>
    </r>
    <r>
      <rPr>
        <sz val="12"/>
        <color rgb="FF000000"/>
        <rFont val="Aptos Narrow"/>
      </rPr>
      <t>(calcul automatique)</t>
    </r>
  </si>
  <si>
    <t>Le score est calculé automatiquement selon votre réponse et le niveau de priorité associé à la question. Aucune intervention n’est nécessaire dans cette colonne.</t>
  </si>
  <si>
    <t>Les questions sont classées selon trois niveaux de priorité  associés à un nombre de points.</t>
  </si>
  <si>
    <r>
      <rPr>
        <sz val="11"/>
        <color rgb="FF000000"/>
        <rFont val="Aptos Narrow"/>
      </rPr>
      <t xml:space="preserve">Les réponses </t>
    </r>
    <r>
      <rPr>
        <b/>
        <sz val="11"/>
        <color rgb="FF000000"/>
        <rFont val="Aptos Narrow"/>
      </rPr>
      <t>Oui,</t>
    </r>
    <r>
      <rPr>
        <sz val="11"/>
        <color rgb="FF000000"/>
        <rFont val="Aptos Narrow"/>
      </rPr>
      <t xml:space="preserve"> </t>
    </r>
    <r>
      <rPr>
        <b/>
        <sz val="11"/>
        <color rgb="FF000000"/>
        <rFont val="Aptos Narrow"/>
      </rPr>
      <t>Non</t>
    </r>
    <r>
      <rPr>
        <sz val="11"/>
        <color rgb="FF000000"/>
        <rFont val="Aptos Narrow"/>
      </rPr>
      <t xml:space="preserve"> ou</t>
    </r>
    <r>
      <rPr>
        <b/>
        <sz val="11"/>
        <color rgb="FF000000"/>
        <rFont val="Aptos Narrow"/>
      </rPr>
      <t xml:space="preserve"> Non applicable</t>
    </r>
    <r>
      <rPr>
        <sz val="11"/>
        <color rgb="FF000000"/>
        <rFont val="Aptos Narrow"/>
      </rPr>
      <t xml:space="preserve"> vous donneront le score correspondant à l'accessibilité.</t>
    </r>
  </si>
  <si>
    <t>Niveau 1 - 6 points maximum par question - Essentiel à l'accessibilité</t>
  </si>
  <si>
    <t>Niveau 2 - 4 points maximum par question - Important à l'accessibilité</t>
  </si>
  <si>
    <t>Niveau 3 - 2 points maximum par question - Utile à l'accessibilité</t>
  </si>
  <si>
    <t>Colonnes F et G – Niveau d’effort</t>
  </si>
  <si>
    <t>Le niveau d’effort indique la difficulté estimée pour mettre en place l’action. Trois niveaux sont utilisés, le niveau faible correspond à une action généralement simple à réaliser, tandis que le niveau fort peut demander davantage de ressources financières, humaines, temporelles ou matérielles.
La colonne G explique brièvement la justification du niveau d’effort. Cette estimation est basée sur les observations et l’expertise de Kéroul. Elle demeure indicative et peut varier selon la réalité, les ressources et le contexte de chaque événement.</t>
  </si>
  <si>
    <t>Effort faible</t>
  </si>
  <si>
    <t>Effort moyen</t>
  </si>
  <si>
    <t>Effort fort</t>
  </si>
  <si>
    <t>Colonnes J et K – Type d’intervention</t>
  </si>
  <si>
    <t>Ces colonnes indiquent si la question concerne principalement les infrastructures ou l’expérience générale des visiteurs.</t>
  </si>
  <si>
    <t>Quelques précautions à prendre</t>
  </si>
  <si>
    <r>
      <t xml:space="preserve">Il est recommandé de répondre à toutes les questions afin d’obtenir un portrait aussi fidèle que possible de votre événement. Les questions laissées sans réponse ne sont pas prises en compte dans le calcul du bilan. En cas de doute, privilégiez la réponse </t>
    </r>
    <r>
      <rPr>
        <b/>
        <sz val="11"/>
        <color rgb="FF000000"/>
        <rFont val="Aptos Narrow"/>
        <family val="2"/>
      </rPr>
      <t>Non</t>
    </r>
    <r>
      <rPr>
        <sz val="11"/>
        <color rgb="FF000000"/>
        <rFont val="Aptos Narrow"/>
        <family val="2"/>
      </rPr>
      <t xml:space="preserve"> afin d’identifier les éléments qui méritent d’être vérifiés ou améliorés.</t>
    </r>
  </si>
  <si>
    <t>Si vous modifiez une réponse déjà inscrite, prenez le temps de vérifier les autres questions de la même section. Certains choix de réponse peuvent varier en fonction des réponses données précédemment.</t>
  </si>
  <si>
    <t>Relisez la thématique associée à la question. Certaines formulations peuvent se ressembler, mais leur sens et ce qui est attendu peuvent varier selon la thématique.</t>
  </si>
  <si>
    <t>À noter : les cellules contenant les questions, les formules et les calculs sont protégées afin d’éviter toute modification accidentelle. Seule la colonne D est modifiable : c’est dans cette colonne que vous devez inscrire vos réponses.</t>
  </si>
  <si>
    <t>Etape 2  : Bilan</t>
  </si>
  <si>
    <t>Une fois l'onglet Diagnostic rempli, l'onglet Bilan présente automatiquement les résultats. Pour chaque niveau de priorité, vous trouverez :</t>
  </si>
  <si>
    <t>- Le nombre maximal de points qu'il était possible d'obtenir, selon les questions auxquelles vous avez répondu
- Le nombre de points réellement obtenus
- Le nombre de points restants à obtenir
- Le pourcentage de conformité
- Un graphique permettant de visualiser rapidement les résultats</t>
  </si>
  <si>
    <t>Etape 3  : Construire le plan d'actions</t>
  </si>
  <si>
    <r>
      <rPr>
        <sz val="11"/>
        <color rgb="FF000000"/>
        <rFont val="Aptos Narrow"/>
        <scheme val="minor"/>
      </rPr>
      <t xml:space="preserve">Les questions pour lesquelles le nombre maximal de points n’a pas été obtenu sont automatiquement reportées dans l’onglet </t>
    </r>
    <r>
      <rPr>
        <b/>
        <sz val="11"/>
        <color rgb="FF000000"/>
        <rFont val="Aptos Narrow"/>
        <scheme val="minor"/>
      </rPr>
      <t>Plan d’action</t>
    </r>
    <r>
      <rPr>
        <sz val="11"/>
        <color rgb="FF000000"/>
        <rFont val="Aptos Narrow"/>
        <scheme val="minor"/>
      </rPr>
      <t>.</t>
    </r>
  </si>
  <si>
    <t>Par défaut, les actions y sont présentées par thématique. Vous pouvez ensuite les filtrer ou les trier selon vos préférences, par exemple en fonction du niveau de priorité ou du niveau d’effort.</t>
  </si>
  <si>
    <t>Thématiques</t>
  </si>
  <si>
    <t>Question</t>
  </si>
  <si>
    <t>Précision de question</t>
  </si>
  <si>
    <t>Réponse</t>
  </si>
  <si>
    <t>Score</t>
  </si>
  <si>
    <t>Priorité</t>
  </si>
  <si>
    <t>Effort estimé</t>
  </si>
  <si>
    <t>Justification de l'effort requis</t>
  </si>
  <si>
    <t>Action à prévoir (s'affiche selon votre réponse)</t>
  </si>
  <si>
    <t>Expérience</t>
  </si>
  <si>
    <t>Infrastructure</t>
  </si>
  <si>
    <t>Dépendance de question</t>
  </si>
  <si>
    <t>A1. Organisation et information : équipe interne</t>
  </si>
  <si>
    <t xml:space="preserve">Une personne responsable de l’accessibilité est-elle identifiée au sein de l’équipe d’organisation ? </t>
  </si>
  <si>
    <t>La personne ressource coordonne l'accessibilité entre l'ensemble des services et est aussi le référent pour les questions des participants.</t>
  </si>
  <si>
    <t>Niv. 1</t>
  </si>
  <si>
    <t>Faible</t>
  </si>
  <si>
    <t>Décision interne, sans aménagement ni coût important.</t>
  </si>
  <si>
    <t>X</t>
  </si>
  <si>
    <t>Choix déroulant oui / non</t>
  </si>
  <si>
    <t>A2. Organisation et information : équipe interne</t>
  </si>
  <si>
    <t>Les fournisseurs / exposants ont-ils été sensibilisés à l'accueil des personnes en situation de handicap ?</t>
  </si>
  <si>
    <t>Formation ou guide d'exposant présentant des bonnes pratiques à adopter</t>
  </si>
  <si>
    <t>Niv. 3</t>
  </si>
  <si>
    <t>Moyen</t>
  </si>
  <si>
    <t>Plusieurs moyens possibles (formation, guide, consignes, etc.), mais l’adhésion aux valeurs de l'évènement peut être plus difficile à obtenir auprès de prestataires externes</t>
  </si>
  <si>
    <t>A3. Organisation et information : équipe interne</t>
  </si>
  <si>
    <t xml:space="preserve">L'équipe permanente a-t-elle suivi une formation sur l'accessibilité aux personnes en situation de handicap ? </t>
  </si>
  <si>
    <t>Prendre en compte toutes les équipes qui sont en contact avec le public (employés, bénévoles, sécurité, intervenants, etc.).</t>
  </si>
  <si>
    <t>Plusieurs moyens possibles (formation, guide, sensibilisation interne, etc.) pendant un temps d’équipe</t>
  </si>
  <si>
    <t>A4. Organisation et information : équipe interne</t>
  </si>
  <si>
    <t>Les personnes en situation de handicap (divers handicaps) ont-elles été impliquées dans l'organisation du festival?</t>
  </si>
  <si>
    <t>De nombreuses associations locales peuvent être sollicitées, mais la démarche peut demander du temps pour établir et maintenir une collaboration.</t>
  </si>
  <si>
    <t>A5. Organisation et information : équipe interne</t>
  </si>
  <si>
    <t xml:space="preserve">Une politique/plan d’action en accessibilité est-elle mise en place pour l'évènement ? </t>
  </si>
  <si>
    <t>Document structurant les actions d'accessibilité mises en place et les orientations du festival en matière d'accessibilité pour les éditions à suivre</t>
  </si>
  <si>
    <t>Organisation interne, temps d'équipe, nécessite une réflexion structurée, des priorités et un suivi</t>
  </si>
  <si>
    <t>A6. Organisation et information : équipe interne</t>
  </si>
  <si>
    <t xml:space="preserve">Le parcours (accès, espaces de circulation, toilettes) est-il testé par des personnes handicapées avant l'événement ? </t>
  </si>
  <si>
    <t>Niv. 2</t>
  </si>
  <si>
    <t>Organisation ponctuelle, demande peu de temps</t>
  </si>
  <si>
    <t>Choix déroulant oui / non / non applicable si pas de parcours</t>
  </si>
  <si>
    <t>A7. Organisation et information : équipe interne</t>
  </si>
  <si>
    <t>Avez-vous un aide-mémoire de bonnes pratiques pour l'accueil des personnes en situation de handicap ?</t>
  </si>
  <si>
    <t>Aide-mémoire à destination des employés, bénévoles ou autres personnes travaillant au contact avec la clientèle (exposants, sécurité, ...).</t>
  </si>
  <si>
    <t>Effort pour la rédaction initiale puis mise à jour régulière. À diffuser auprès de nombreux prestataires externes.</t>
  </si>
  <si>
    <t>B1. Information et communication grand public  (site web, affiches, réseaux sociaux, ...)</t>
  </si>
  <si>
    <t>Votre site Web et votre billetterie en ligne peuvent-ils être utilisés facilement par une personne qui agrandit le texte, navigue au clavier ou utilise un lecteur d’écran?</t>
  </si>
  <si>
    <t>Fort</t>
  </si>
  <si>
    <t>Effort important car il faut faire appel à des spécialistes de programmation en accessibilité numérique et coûts associés</t>
  </si>
  <si>
    <t>Choix déroulant oui / non / non applicable si pas de site web ou billeterie</t>
  </si>
  <si>
    <t>B2. Information et communication grand public  (site web, affiches, réseaux sociaux, ...)</t>
  </si>
  <si>
    <t xml:space="preserve">Les mesures d'accessibilité (services et équipements) sont-elles clairement indiquées sur le site web ou tout autre support de communication ? </t>
  </si>
  <si>
    <t>Les conditions de réservation ou d'utilisation de chacun des services sont indiqués. Les services accessibles peuvent être des concerts signés, du sous/sur-titrage, de l'audiodescription, réservation de veste vibrante, accès des zones particulières...</t>
  </si>
  <si>
    <t>Révision du contenu existant, ajouts éventuels mais sans développement majeur</t>
  </si>
  <si>
    <t>B3. Information et communication grand public  (site web, affiches, réseaux sociaux, ...)</t>
  </si>
  <si>
    <t>Transmettez-vous des informations sur votre accessibilité dans différents supports de communication (site web, affiches, réseaux sociaux) ?</t>
  </si>
  <si>
    <t>Les informations d'accessibilité incluent des informations concernant le stationnement, la circulation sur place, les modalités de réservation, la billeterie, les services/équipements offerts, ...</t>
  </si>
  <si>
    <t>Réutilisation d'informations existantes sur plusieurs canaux, peu de développement</t>
  </si>
  <si>
    <t>Choix déroulant oui / non / non applicable</t>
  </si>
  <si>
    <t>B4. Information et communication grand public  (site web, affiches, réseaux sociaux, ...)</t>
  </si>
  <si>
    <t xml:space="preserve">Les informations sur l’accessibilité sont-elles regroupées dans une page sur votre site web facile à trouver depuis la page d'accueil ? </t>
  </si>
  <si>
    <t>Peut-être sur une page dédiée à l'accessibilité, une page d'informations pratiques ou autre</t>
  </si>
  <si>
    <t>Pas de développement majeur, ajout d'une page ou modification simple de la navigation (lien visible)</t>
  </si>
  <si>
    <t>Choix déroulant oui / non / non applicable si pas de site web</t>
  </si>
  <si>
    <t>B5. Information et communication grand public  (site web, affiches, réseaux sociaux, ...)</t>
  </si>
  <si>
    <t xml:space="preserve">Une même information est-elle partagée sous  2 différents  formats minimum (ex : écrit, audio, langue des signes, numérique, imprimée)? </t>
  </si>
  <si>
    <t>Texte régulier, texte FALC, langue des signes, texte braille, vidéos, audio, plans, …</t>
  </si>
  <si>
    <t>Coordination et uniformisation de plusieurs moyens de communication qui demande du temps et de la rigueur</t>
  </si>
  <si>
    <t>B6. Information et communication grand public  (site web, affiches, réseaux sociaux, ...)</t>
  </si>
  <si>
    <t xml:space="preserve">La programmation est-elle présentée dans différents formats (audio, texte)? </t>
  </si>
  <si>
    <t>Création et production du contenu sous plusieurs versions qui demande du temps et une préparation préalable</t>
  </si>
  <si>
    <t>Choix déroulant oui / non / non applicable si pas de programmation</t>
  </si>
  <si>
    <t>B7. Information et communication grand public  (site web, affiches, réseaux sociaux, ...)</t>
  </si>
  <si>
    <t xml:space="preserve">La programmation est-elle présentée de manière structurée : date, lieu, artiste, horaire.... ? </t>
  </si>
  <si>
    <t>La programmation est présentée selon une structure claire et constante. Les informations sont organisées autour d’un élément principal (par exemple la date), puis complétées par les informations associées (lieu, artiste, horaire, etc.).</t>
  </si>
  <si>
    <t>Exercice complexe : nécessite de choisir une logique de présentation claire (par date, lieu, artiste, etc.) et un format adapté (tableau, texte, grille, etc.).</t>
  </si>
  <si>
    <t>C1. Organisation : bénévoles et personnel d'accueil</t>
  </si>
  <si>
    <t>Y a-t-il des personnes dédiées et formées pour répondre aux besoins spécifiques, pendant l'événement ?</t>
  </si>
  <si>
    <t>Service nourriture/boisson, accompagnement, orientation, ...</t>
  </si>
  <si>
    <t>Recrutement et mobilisation de ressources humaines</t>
  </si>
  <si>
    <t>C2. Organisation : bénévoles et personnel d'accueil</t>
  </si>
  <si>
    <t xml:space="preserve">L’équipe dédiée aux besoins des personnes en situation de handicap est-elle clairement identifiée ? </t>
  </si>
  <si>
    <t>Gilets ou dossard réfléchissant, ballon en l'air, ...</t>
  </si>
  <si>
    <t>Peut nécessiter l'achat de signalétique et s'appuyer sur des solutions simples et peu coûteuses pour rendre l'équipe plus visible.</t>
  </si>
  <si>
    <t>Dépendant C1 - Si oui = choix déroulant oui / non
Si non = Non applicable</t>
  </si>
  <si>
    <t>D1. Stationnement</t>
  </si>
  <si>
    <t>Des espaces de stationnement réservés aux personnes handicapées sont-ils prévus ?</t>
  </si>
  <si>
    <t>Relève de la logistique, peu contraignant puisqu'un stationnement régulier existe déjà la plupart du temps</t>
  </si>
  <si>
    <t>D2. Stationnement</t>
  </si>
  <si>
    <t>Les espaces de stationnement réservé sont-ils situés à proximité de l’entrée principale ?</t>
  </si>
  <si>
    <t>À moins de 50 mètres de l'entrée accessible</t>
  </si>
  <si>
    <t>Effort variable selon l’aménagement du site : peu contraignant si le stationnement est déjà à proximité, mais peut nécessiter une réorganisation des espaces dans certains cas.</t>
  </si>
  <si>
    <t>Dépendant D1 - Si oui = choix oui / non
Si non = Non applicable</t>
  </si>
  <si>
    <t>D3. Stationnement</t>
  </si>
  <si>
    <t xml:space="preserve">Les espaces de stationnement réservés sont-ils assez larges pour pouvoir déplier une rampe d'accès latérale (largeur totale d'environ 4 mètres) ? </t>
  </si>
  <si>
    <t>Largeur totale de 3,9 m soit place régulière de 2,4m + 1,5 m allée latérale</t>
  </si>
  <si>
    <t>Peu contraignant lorsque les espaces sont délimités temporairement : l’aménagement peut être ajusté sans travaux permanents ni permis.</t>
  </si>
  <si>
    <t>D4. Stationnement</t>
  </si>
  <si>
    <t>Les espaces réservés sont-ils aménagés sur un revêtement dur et sans pente ?</t>
  </si>
  <si>
    <t>Peut nécessiter une intervention sur le sol, des autorisations ou l’implication du propriétaire ou de la municipalité, hors du contrôle de l'évènement.</t>
  </si>
  <si>
    <t>D5. Stationnement</t>
  </si>
  <si>
    <t xml:space="preserve">Ces espaces réservés sont-ils identifiés par un panneau avec le pictogramme du handicap universel ? </t>
  </si>
  <si>
    <t>Normalement au sol et avec un panneau mais au minimum avec un panneau</t>
  </si>
  <si>
    <t>Achat et installation de signalisation temporaire simple</t>
  </si>
  <si>
    <t>D6. Stationnement</t>
  </si>
  <si>
    <t xml:space="preserve">Un débarcadère  à votre site est-il prévu ? </t>
  </si>
  <si>
    <t>Emplacement en retrait de la circulation à proximité de l'entrée pour déposer des festivaliers. Peut aussi être un débarcadère de transport adapté.</t>
  </si>
  <si>
    <t>Réflexion sur l'aménagement du site et  parfois démarches administratives pour faire reconnaître le débarcadère auprès du service du transport adapté</t>
  </si>
  <si>
    <t>D7. Stationnement</t>
  </si>
  <si>
    <t xml:space="preserve">Du mobilier pour s'asseoir (bancs, chaises...) est-il disponibles à proximité du débarcadère ? </t>
  </si>
  <si>
    <t>Très simple, ajout de mobilier</t>
  </si>
  <si>
    <t>Dépendant D6 - Si oui = choix oui / non
Si non = Non applicable</t>
  </si>
  <si>
    <t>D8. Stationnement</t>
  </si>
  <si>
    <t xml:space="preserve">Le débarcadère est-il protégé des intempéries ? </t>
  </si>
  <si>
    <t>Nécessite l'installation d'un abri, d'une toile ou d'une structure, relativement simple mais temps d'installation à prévoir en plus</t>
  </si>
  <si>
    <t>D9. Stationnement</t>
  </si>
  <si>
    <t xml:space="preserve">Le débarcadère permet-il une dépose sécuritaire, sans avoir à traverser une voie de circulation automobile ?  </t>
  </si>
  <si>
    <t>Réflexion sur l'aménagement du site</t>
  </si>
  <si>
    <t>E1. Admission / Billetterie</t>
  </si>
  <si>
    <t>Y a-t-il des tarifs préférentiels pour les personnes en situation de handicap ?</t>
  </si>
  <si>
    <t>Les tarifs préférentiels peuvent être l'acceptation Carte Accompagnement Loisirs (CAL), la gratuité pour le festivalier en situation de handicap, la gratuité pour l'accompagnateur, un rabais sur le prix du billet, ...</t>
  </si>
  <si>
    <t>Modification simple de la stratégie tarifaire, démarches simples pour accepter la Carte CAL</t>
  </si>
  <si>
    <t>Choix déroulant oui / non / non applicable si évènement gratuit</t>
  </si>
  <si>
    <t>E2. Admission / Billetterie</t>
  </si>
  <si>
    <t xml:space="preserve">Y a-t-il au moins 2 moyens complémentaires pour acheter des billets (par écrit et en personne) ? </t>
  </si>
  <si>
    <t>Un moyen oral (téléphone ou billeterie physique) et un moyen écrit (courriel, billeterie en ligne)</t>
  </si>
  <si>
    <t>Inclus parfois des contraintes logistiques et technologiques (changement de système de billeterie) ou ressources humaines supplémentaires requises</t>
  </si>
  <si>
    <t>Dépendant E1 - Si oui ou non = choix déroulant oui / non
Si non applicable = Non applicable</t>
  </si>
  <si>
    <t>E3. Admission / Billetterie</t>
  </si>
  <si>
    <t xml:space="preserve">La largeur des passages et files d’attente permet-elle la circulation et les manœuvres d’une personne en fauteuil roulant ? </t>
  </si>
  <si>
    <t>Relève de l'aménagement du site, relativement simple si pris en considération suffisamment à l'avance</t>
  </si>
  <si>
    <t>E4. Admission / Billetterie</t>
  </si>
  <si>
    <t xml:space="preserve">Des files d’attente alternatives ou prioritaires sont-elles prévues ? </t>
  </si>
  <si>
    <t>Nécessite une signalisation spécifique et du personnel informé</t>
  </si>
  <si>
    <t>E5. Admission / Billetterie</t>
  </si>
  <si>
    <t xml:space="preserve">Les points de contrôle (billetterie, fouille) sont-ils disponibles à différentes hauteurs ? </t>
  </si>
  <si>
    <t>Adaptation légère du mobilier (achat ou solutions "maisons" respectant les critères)</t>
  </si>
  <si>
    <t>F1. Circulation</t>
  </si>
  <si>
    <t>Les couloirs de circulation sont-ils suffisamment larges pour circuler et se croiser ?</t>
  </si>
  <si>
    <t>Prendre en considération des attroupements, le fait que les déplacements de population se font en même temps et dans la même direction (d'un spectacle à l'autre), parfois dans les 2 sens</t>
  </si>
  <si>
    <t>F2. Circulation</t>
  </si>
  <si>
    <t>Y a-t-il des pentes abruptes ou longues  le long du parcours?</t>
  </si>
  <si>
    <t>Le repérage et la signalisation demandent peu de ressources, mais l’élimination d’une pente peut nécessiter des travaux plus importants sur le parcours</t>
  </si>
  <si>
    <t>F3. Circulation</t>
  </si>
  <si>
    <t xml:space="preserve">Y a-t-il des obstacles sur le parcours (racines, roches, fils électriques...) ? </t>
  </si>
  <si>
    <t>Le repérage et la signalisation demandent peu de ressources, mais certains obstacles peuvent nécessiter des travaux ou des modifications plus importantes pour être retirés.</t>
  </si>
  <si>
    <t>F4. Circulation</t>
  </si>
  <si>
    <t>Les revêtements temporaires (tapis, biseaux, passerelles, etc.) sont-ils bien fixés ?</t>
  </si>
  <si>
    <t>Intervention simple au moment de l'installation</t>
  </si>
  <si>
    <t>Choix déroulant oui / non / non applicable si utilisation d'installations permanentes</t>
  </si>
  <si>
    <t>F5. Circulation</t>
  </si>
  <si>
    <t xml:space="preserve">Certaines zones du festival sont-elles inaccessibles pour une personne à mobilité réduite ? </t>
  </si>
  <si>
    <t>Nécessite une analyse du site et la réflexion d'alternatives. ’effort reste modéré lorsque cette réflexion est intégrée suffisamment tôt à la planification.</t>
  </si>
  <si>
    <t>F6. Circulation</t>
  </si>
  <si>
    <t>Les zones de circulation ont-elles un revêtement dur ?</t>
  </si>
  <si>
    <t>Peut nécessiter une intervention importante sur le sol ou l’achat et l’installation de revêtements temporaires adaptés.</t>
  </si>
  <si>
    <t>F7. Circulation</t>
  </si>
  <si>
    <t>Y a-t-il des corridors de circulation réservés pour des personnes en situation de handicap ?</t>
  </si>
  <si>
    <t>Coupe-fils pour accéder aux toilettes, bars, plateforme réservée, accueil ...</t>
  </si>
  <si>
    <t>Demande une réflexion sur l’aménagement du site, l’ajout possible de barrières et une gestion des flux pendant l’événement.</t>
  </si>
  <si>
    <t>F8. Circulation</t>
  </si>
  <si>
    <t>Des itinéraires alternatifs sont-ils proposés lorsque certaines zones sont plus exigeantes physiquement ?</t>
  </si>
  <si>
    <t>Dépendant F2 et F3 - si oui = choix déroulant oui / non 
Si non = Non applicable</t>
  </si>
  <si>
    <t>F9. Circulation</t>
  </si>
  <si>
    <t>Les cache-fils sont-ils en pente douce ?</t>
  </si>
  <si>
    <t>Avec des côtés plus longs pour permettre un franchissement plus facile</t>
  </si>
  <si>
    <t>Achat de cache-fils conformes en remplacement des anciens. Installation identique</t>
  </si>
  <si>
    <t>F10. Circulation</t>
  </si>
  <si>
    <t>Les rebords des couloirs de circulation sont-ils délimités de chaque côté (éclairage lumineux, changement de revêtement...) ?</t>
  </si>
  <si>
    <t>Intervention sur l'ensemble du site</t>
  </si>
  <si>
    <t>F11. Circulation</t>
  </si>
  <si>
    <t>Des aires de repos sont-elles réparties sur l’ensemble du site ?</t>
  </si>
  <si>
    <t>Incluant au minimum du mobilier pour s'asseoir, parfois d'autres services comme une station de remplissage d'eau, des poubelles, etc.</t>
  </si>
  <si>
    <t>Intervention simple d'ajout ou de déplacement de mobilier</t>
  </si>
  <si>
    <t>F12. Circulation</t>
  </si>
  <si>
    <t xml:space="preserve">Les espaces pour s’asseoir / aires de repos sont-ils à l’écart du bruit et de la foule ? </t>
  </si>
  <si>
    <t>Tente ou salle d'apaisement à l'écart du bruit et de la foule</t>
  </si>
  <si>
    <t>Relève de l'aménagement, peu contraignant à inclure dans le plan du site</t>
  </si>
  <si>
    <t>F13. Circulation</t>
  </si>
  <si>
    <t xml:space="preserve">Le mobilier des espaces pour s’assoir est-il diversifié (avec et sans dossiers, avec et sans accoudoirs, différentes hauteurs) ? </t>
  </si>
  <si>
    <t>Achat/location de plusieurs types de mobilier, peu contraignant</t>
  </si>
  <si>
    <t>G1. Zone réservée - Scène extérieure</t>
  </si>
  <si>
    <t xml:space="preserve">Une zone réservée aux personnes en situation de handicap est-elle prévue proche de la scène ? </t>
  </si>
  <si>
    <t>Planification requise pour mettre en place l'espace réservé la première année (réflexion sur le placement, achat/location de l'équipement, modalités d'accès)</t>
  </si>
  <si>
    <t>G2. Zone réservée - Scène extérieure</t>
  </si>
  <si>
    <t>La zone réservée offre-t-elle une vue complète et dégagée sur la scène ou le point d’intérêt ?</t>
  </si>
  <si>
    <t>Peut nécessiter de modifier l'emplacement ou la configuration</t>
  </si>
  <si>
    <t>Dépendant G1 - Si oui = choix déroulant oui / non
Si non ou non applicable = Non applicable</t>
  </si>
  <si>
    <t>G3. Zone réservée - Scène extérieure</t>
  </si>
  <si>
    <t>Une rampe d’accès en pente douce est-elle prévue lorsque la zone réservée est surélevée ?</t>
  </si>
  <si>
    <t>Achat/location et installation d'une rampe conforme. Contraintes liées à la zone réservée et non à la rampe elle-même</t>
  </si>
  <si>
    <t>Dépendant G1 - Si oui = choix déroulant oui / non / non applicable
Si non ou non applicable = Non applicable</t>
  </si>
  <si>
    <t>G4. Zone réservée - Scène extérieure</t>
  </si>
  <si>
    <t xml:space="preserve">Des espaces de manœuvre suffisants pour une personne en fauteuil en roulant sont-ils présents en bas et en haut de la rampe ? </t>
  </si>
  <si>
    <t>G5. Zone réservée - Scène extérieure</t>
  </si>
  <si>
    <t>La rampe est-elle munie de mains courantes de chaque côté ?</t>
  </si>
  <si>
    <t>Peu contraignant puisque la majorité des rampes adaptées sont déjà munies de mains courantes; il suffit surtout de le vérifier lors de l’achat ou de la location.</t>
  </si>
  <si>
    <t>Dépendant G3 -  Si oui = choix déroulant oui / non
Si non ou non applicable = Non applicable</t>
  </si>
  <si>
    <t>G6. Zone réservée - Scène extérieure</t>
  </si>
  <si>
    <t>La zone réservée est-elle abritée en cas de forte chaleur ou d'intempéries ?</t>
  </si>
  <si>
    <t>G7. Zone réservée - Scène extérieure</t>
  </si>
  <si>
    <t>Du mobilier pour s'asseoir est-il à disposition dans la zone réservée ?</t>
  </si>
  <si>
    <t>Pour les personnes accompagnatrices ou les personnes à mobilité réduite qui ne sont pas nécessairement en fauteuil roulant</t>
  </si>
  <si>
    <t>G8. Zone réservée - Scène extérieure</t>
  </si>
  <si>
    <t>Y a-t-il des services de confort sur la zone réservée  ?</t>
  </si>
  <si>
    <t>Couverture, prises électriques, trousse de secours, ..</t>
  </si>
  <si>
    <t>Demande peu de ressources : quelques équipements ou services simples à prévoir et une information claire à transmettre au personnel.</t>
  </si>
  <si>
    <t>H1. Toilette</t>
  </si>
  <si>
    <t>Une personne en fauteuil roulant peut-elle fermer la porte des toilettes une fois à l'intérieur ?</t>
  </si>
  <si>
    <t>Porte ouvrant vers l'extérieur ou aire de manoeuvre en dehors du battant de porte.</t>
  </si>
  <si>
    <t>Intervention minime mais difficulté à trouver des toilettes temporaires réelement adaptées à un faible coût</t>
  </si>
  <si>
    <t>H2. Toilette</t>
  </si>
  <si>
    <t>Une personne en fauteuil roulant peut-elle se positionner parallèlement à la cuvette pour se transférer de côté ?</t>
  </si>
  <si>
    <t>H3. Toilette</t>
  </si>
  <si>
    <t>Y a-t-il des barres d'appui à proximité de la cuvette ?</t>
  </si>
  <si>
    <t>I1. Kiosque</t>
  </si>
  <si>
    <t>Une aire de manœuvre suffisante est-elle prévue devant chaque comptoir pour permettre à une personne en fauteuil roulant de se retourner ?</t>
  </si>
  <si>
    <t>Planification à l'avance sur l'aménagement des kiosques et le positionnement des comptoirs, peu contraignant</t>
  </si>
  <si>
    <t>Choix déroulant oui / non / non applicable si pas de kiosques</t>
  </si>
  <si>
    <t>I2. Kiosque</t>
  </si>
  <si>
    <t xml:space="preserve">Les différents types de kiosques (boissons, nourriture, information, boutique, ...) sont-ils faciles d’accès depuis les zones réservées et sur le parcours central ? </t>
  </si>
  <si>
    <t>Planification et reflexion à l'avance sur le positionnement des kiosques</t>
  </si>
  <si>
    <t>I3. Kiosque</t>
  </si>
  <si>
    <t xml:space="preserve">Tous les terminaux de paiement sur le site sont-ils amovibles ? </t>
  </si>
  <si>
    <t>Équipement facile à intégrer</t>
  </si>
  <si>
    <t>I4. Kiosque</t>
  </si>
  <si>
    <t xml:space="preserve">Les comptoirs disposent-ils d’un comptoir abaissé ou d’une section à la hauteur d’une personne en fauteuil roulant ou d’un enfant ? </t>
  </si>
  <si>
    <t>Kiosques d'exposants mais aussi kiosque de l'évènements, boutiques, bars, restaurants</t>
  </si>
  <si>
    <t>Achat ou fabrication de mobilier spécifique, multiplié par le nombre de kiosques.</t>
  </si>
  <si>
    <t>I5. Kiosque</t>
  </si>
  <si>
    <t>Les kiosques ayant une marche/seuil ont-ils une rampe d'accès ?</t>
  </si>
  <si>
    <t>Action simple pour les kiosques du festival, plus difficile pour les kiosques partenaire, travail de sensibilisation qui peut être important</t>
  </si>
  <si>
    <t>I6. Kiosque</t>
  </si>
  <si>
    <t>Les files d’attente devant les kiosques empiètent-elles sur les couloirs de circulation ?</t>
  </si>
  <si>
    <t>Peu de contrainte si la gestion des flux est réfléchie à l'avance, peut nécessité du matériel pour créer des files (barrières, ruban, etc.)</t>
  </si>
  <si>
    <t>J1. Éclairage</t>
  </si>
  <si>
    <t>L’ensemble du site est-il éclairé de façon uniforme, sans zones d’ombre importantes ?</t>
  </si>
  <si>
    <t>À tester dans diverses conditions (journée, soirée) selon les périodes d'ouverture de l'évènement</t>
  </si>
  <si>
    <t>Nécessite le temps pour le repérage et l'analyse puis choix et installation stratégique des sources luminueses</t>
  </si>
  <si>
    <t>J2. Éclairage</t>
  </si>
  <si>
    <t xml:space="preserve">L’éclairage permet-il de repérer facilement les obstacles éventuels au sol (seuils, câbles, changements de niveau) ? </t>
  </si>
  <si>
    <t>Demande un repérage préalable des obstacles et quelques ajustements d’éclairage; peut être intégré au test du parcours et à la réflexion sur l’éclairage général.</t>
  </si>
  <si>
    <t>J3. Éclairage</t>
  </si>
  <si>
    <t>Les sources lumineuses sont-elles positionnées pour éviter les reflets ou l’éblouissement ?</t>
  </si>
  <si>
    <t>Pas d'éclairage direct ou sur des surfaces lustrées ou brillantes. Préferer l'éclairage diffus</t>
  </si>
  <si>
    <t>Nécessite des vérifications dans différentes conditions et un positionnement parfois technique, surtout lorsque plusieurs sources lumineuses sont présentes sur le site.</t>
  </si>
  <si>
    <t>K1. Signalisation et communication orale</t>
  </si>
  <si>
    <t xml:space="preserve">Les informations des panneaux de signalisation sont-elles faciles à lire, peu importe la luminosité (journée, soirée) ? </t>
  </si>
  <si>
    <t>Police de caractères, couleurs, pictogrammes, uniformité...</t>
  </si>
  <si>
    <t>Repose surtout sur de bons choix de matériaux et de graphisme; les ajustements sont généralement simples à intégrer lors de la conception des panneaux.</t>
  </si>
  <si>
    <t>K2. Signalisation et communication orale</t>
  </si>
  <si>
    <t>La signalisation est-elle facilement repérable de loin, même lors de forts achalandages ?</t>
  </si>
  <si>
    <t>Panneaux en hauteur, ballons</t>
  </si>
  <si>
    <t>Action simple à mettre en place en respectant les guides de bonnes pratiques. Ne demande pas de temps supplémentaire ni coût</t>
  </si>
  <si>
    <t>K3. Signalisation et communication orale</t>
  </si>
  <si>
    <t xml:space="preserve">Les annonces vocales (qualité et volume) sont-elles audibles et compréhensibles pendant l'évènement ? </t>
  </si>
  <si>
    <t>En tenant compte du bruit de la foule</t>
  </si>
  <si>
    <t>Nécessite des test, des réglages et parfois des équipements techniques supplémentaires ou de meilleure qualité</t>
  </si>
  <si>
    <t>Choix déroulant oui / non / non applicable si pas d'annonces vocales</t>
  </si>
  <si>
    <t>K4. Signalisation et communication orale</t>
  </si>
  <si>
    <t xml:space="preserve">Un plan du site est-il disponible à l’entrée, à chacune des entrées ou à divers points du site ? </t>
  </si>
  <si>
    <t>Impression et installation d'affiches supplémentaires, temps de production mais peu de temps d'installation</t>
  </si>
  <si>
    <t>Choix déroulant oui / non / non applicable si pas de plan d'orientation</t>
  </si>
  <si>
    <t>K5. Signalisation et communication orale</t>
  </si>
  <si>
    <t xml:space="preserve">Le plan d’orientation du site est-il disponible en version numérique (site web, code QR) ? </t>
  </si>
  <si>
    <t>Peu de manipulation</t>
  </si>
  <si>
    <t>K6. Signalisation et communication orale</t>
  </si>
  <si>
    <t>La signalisation est-elle présente aux points de décision (intersections, bifurcations, entrées de zones...) ?</t>
  </si>
  <si>
    <t>Ajout ciblé de quelques affiches</t>
  </si>
  <si>
    <t>K7. Signalisation et communication orale</t>
  </si>
  <si>
    <t>L’information est-elle diffusée  sous plusieurs formes (texte, pictogrammes, audio) pendant l'événement ?</t>
  </si>
  <si>
    <t>Demande de coordonner plusieurs formats et outils de diffusion; l’effort reste modéré lorsque ce multi-format est prévu dès la planification.</t>
  </si>
  <si>
    <t>K8. Signalisation et communication orale</t>
  </si>
  <si>
    <r>
      <t xml:space="preserve">Les annonces au public sont-elles vocales </t>
    </r>
    <r>
      <rPr>
        <b/>
        <sz val="12"/>
        <color theme="1"/>
        <rFont val="Aptos Narrow"/>
        <scheme val="minor"/>
      </rPr>
      <t>et</t>
    </r>
    <r>
      <rPr>
        <sz val="11"/>
        <color theme="1"/>
        <rFont val="Aptos Narrow"/>
        <scheme val="minor"/>
      </rPr>
      <t xml:space="preserve"> visuelles ?</t>
    </r>
  </si>
  <si>
    <t>Annonce, présentation des artistes…</t>
  </si>
  <si>
    <t>Nécessite deux canaux de diffusion coordonnés, ce qui peut être plus complexe pour les annonces ponctuelles ou imprévues.</t>
  </si>
  <si>
    <t>Choix déroulant oui / non / non applicable si pas d'annonces</t>
  </si>
  <si>
    <t>K9. Signalisation et communication orale</t>
  </si>
  <si>
    <t xml:space="preserve">Le revêtement des panneaux de signalisation est-il mat et sans reflet ? </t>
  </si>
  <si>
    <t>Simplement porter attention au choix des matériaux pendant la création</t>
  </si>
  <si>
    <t>Choix déroulant oui / non / non applicable si pas de panneaux</t>
  </si>
  <si>
    <t>L1. Évaluation de l'expérience</t>
  </si>
  <si>
    <t>Réalisez-vous un bilan d'équipe pour améliorer l'accessibilité des futures éditions ?</t>
  </si>
  <si>
    <t>Grâce aux informations du journal d'incidents et au questionnaire par exemple, ce qui a bien fonctionné, ce qui n'a pas fonctionné , ...</t>
  </si>
  <si>
    <t>Possibilité de l'intégrer dans la rencontre de bilan déjà existante</t>
  </si>
  <si>
    <t>L2. Évaluation de l'expérience</t>
  </si>
  <si>
    <t>Proposez-vous un questionnaire de satisfaction incluant des questions sur l'accessibilité de l'événement ?</t>
  </si>
  <si>
    <t>Ça peut être un questionnaire spécifique ou plutôt un questionnaire général avec questions d'accessibilité</t>
  </si>
  <si>
    <t>Ajout de quelques questions à un outil déjà très souvent existant</t>
  </si>
  <si>
    <t>L3. Évaluation de l'expérience</t>
  </si>
  <si>
    <t xml:space="preserve">Avez-vous un journal des incidents pendant l'évènement ? </t>
  </si>
  <si>
    <t>Demande une procedure et une saisie régulière par l'équipe qui ne dispose pas nécessairement des ressources nécessaire pendant l'évènement (temps, bénévoles, etc.)</t>
  </si>
  <si>
    <t>L4. Évaluation de l'expérience</t>
  </si>
  <si>
    <t>Des objectifs sont-ils établis dans les plans d'action des éditions suivantes ?</t>
  </si>
  <si>
    <t>Nécessite une analyse, une priorisation et un suivi dans le temps.</t>
  </si>
  <si>
    <t>L5. Évaluation de l'expérience</t>
  </si>
  <si>
    <t>Mesurez-vous la fréquentation ou l'utilisation des services et équipements adaptées ?</t>
  </si>
  <si>
    <t>Coupe-fils, handi-accueil, zones réservées, vestes ou planchers vibrants, fauteuils en prêt...</t>
  </si>
  <si>
    <t>Nécessite une méthode de collecte des données pendant l'évènement par l'équipe qui ne dispose pas nécessairement des ressources nécessaires. Difficulté à obtenir des mesures justes et représentatives</t>
  </si>
  <si>
    <t>Choix déroulant oui / non / non applicable si aucune mesure d'accessibilité</t>
  </si>
  <si>
    <t>Points possibles</t>
  </si>
  <si>
    <t>Points obtenus</t>
  </si>
  <si>
    <t>Points restants à obtenir</t>
  </si>
  <si>
    <t>% de conformité</t>
  </si>
  <si>
    <t>Niveau 1</t>
  </si>
  <si>
    <t>Niveau 2</t>
  </si>
  <si>
    <t>Niveau 3</t>
  </si>
  <si>
    <t>Total</t>
  </si>
  <si>
    <t>Plan d’action : actions à prévoir</t>
  </si>
  <si>
    <t>Cette liste se remplit automatiquement à partir de vos réponses dans l'onglet Autodiagnostic. Seules les questions dont la réponse appelle une action apparaissent, dans l'ordre des thématiques (A1, A2... L5). Si vous modifiez une réponse dans l'onglet Autodiagnostic, la liste se met à jour automatiquement.</t>
  </si>
  <si>
    <t>Nombre d’actions à prévoir :</t>
  </si>
  <si>
    <t>N°</t>
  </si>
  <si>
    <t>Thématique</t>
  </si>
  <si>
    <t>Votre réponse</t>
  </si>
  <si>
    <t>Action à prévoir</t>
  </si>
  <si>
    <t>Justification de l'effort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</si>
</sst>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Aptos Narrow"/>
      <family val="2"/>
      <scheme val="minor"/>
    </font>
    <font>
      <sz val="11"/>
      <color rgb="FF000000"/>
      <name val="Aptos Narrow"/>
      <family val="2"/>
      <scheme val="minor"/>
    </font>
    <font>
      <sz val="11"/>
      <color rgb="FF000000"/>
      <name val="Aptos Narrow"/>
      <scheme val="minor"/>
    </font>
    <font>
      <b/>
      <sz val="11"/>
      <color theme="0"/>
      <name val="Aptos Narrow"/>
      <family val="2"/>
      <scheme val="minor"/>
    </font>
    <font>
      <sz val="11"/>
      <color theme="1"/>
      <name val="Aptos Narrow"/>
      <scheme val="minor"/>
    </font>
    <font>
      <strike/>
      <sz val="11"/>
      <color theme="1"/>
      <name val="Aptos Narrow"/>
      <family val="2"/>
      <scheme val="minor"/>
    </font>
    <font>
      <b/>
      <sz val="10"/>
      <color theme="1"/>
      <name val="Arial"/>
      <family val="2"/>
    </font>
    <font>
      <b/>
      <sz val="10"/>
      <color rgb="FF9C6500"/>
      <name val="Arial"/>
      <family val="2"/>
    </font>
    <font>
      <sz val="12"/>
      <color theme="1"/>
      <name val="Aptos Narrow"/>
      <family val="2"/>
      <scheme val="minor"/>
    </font>
    <font>
      <sz val="12"/>
      <color theme="1"/>
      <name val="Arial"/>
      <family val="2"/>
    </font>
    <font>
      <b/>
      <sz val="12"/>
      <color theme="1"/>
      <name val="Aptos Narrow"/>
      <scheme val="minor"/>
    </font>
    <font>
      <sz val="10"/>
      <color theme="1"/>
      <name val="Aptos Narrow"/>
      <scheme val="minor"/>
    </font>
    <font>
      <b/>
      <sz val="11"/>
      <color theme="1"/>
      <name val="Aptos Narrow"/>
      <scheme val="minor"/>
    </font>
    <font>
      <sz val="10"/>
      <color rgb="FF000000"/>
      <name val="Aptos Narrow"/>
      <scheme val="minor"/>
    </font>
    <font>
      <sz val="10"/>
      <name val="Aptos Narrow"/>
      <scheme val="minor"/>
    </font>
    <font>
      <sz val="11"/>
      <color rgb="FFFF0000"/>
      <name val="Aptos Narrow"/>
      <scheme val="minor"/>
    </font>
    <font>
      <strike/>
      <sz val="11"/>
      <color theme="1"/>
      <name val="Aptos Narrow"/>
      <scheme val="minor"/>
    </font>
    <font>
      <sz val="10"/>
      <color theme="1"/>
      <name val="Arial"/>
      <family val="2"/>
    </font>
    <font>
      <sz val="10"/>
      <color rgb="FF000000"/>
      <name val="Aptos Narrow"/>
    </font>
    <font>
      <sz val="10"/>
      <color theme="1"/>
      <name val="Aptos Narrow"/>
      <family val="2"/>
      <scheme val="minor"/>
    </font>
    <font>
      <sz val="16"/>
      <color rgb="FF000000"/>
      <name val="Aptos Narrow"/>
      <family val="2"/>
    </font>
    <font>
      <sz val="11"/>
      <color rgb="FF000000"/>
      <name val="Aptos Narrow"/>
      <family val="2"/>
    </font>
    <font>
      <b/>
      <sz val="11"/>
      <color rgb="FF000000"/>
      <name val="Aptos Narrow"/>
      <family val="2"/>
    </font>
    <font>
      <b/>
      <sz val="11"/>
      <color theme="1"/>
      <name val="Aptos Narrow"/>
      <family val="2"/>
      <scheme val="minor"/>
    </font>
    <font>
      <b/>
      <sz val="11"/>
      <color rgb="FF000000"/>
      <name val="Aptos Narrow"/>
      <scheme val="minor"/>
    </font>
    <font>
      <sz val="11"/>
      <color theme="0"/>
      <name val="Aptos Narrow"/>
      <family val="2"/>
      <scheme val="minor"/>
    </font>
    <font>
      <sz val="24"/>
      <color rgb="FF000000"/>
      <name val="Aptos Narrow"/>
      <family val="2"/>
    </font>
    <font>
      <sz val="11"/>
      <color rgb="FF000000"/>
      <name val="Aptos Narrow"/>
    </font>
    <font>
      <b/>
      <sz val="11"/>
      <color rgb="FF000000"/>
      <name val="Aptos Narrow"/>
    </font>
    <font>
      <b/>
      <sz val="15"/>
      <color rgb="FF000000"/>
      <name val="Aptos Narrow"/>
    </font>
    <font>
      <b/>
      <sz val="12"/>
      <color rgb="FF000000"/>
      <name val="Aptos Narrow"/>
      <family val="2"/>
    </font>
    <font>
      <b/>
      <sz val="12"/>
      <color rgb="FF000000"/>
      <name val="Aptos Narrow"/>
    </font>
    <font>
      <sz val="12"/>
      <color rgb="FF000000"/>
      <name val="Aptos Narrow"/>
    </font>
    <font>
      <b/>
      <sz val="12"/>
      <color rgb="FFFF0000"/>
      <name val="Aptos Narrow"/>
    </font>
    <font>
      <b/>
      <sz val="14"/>
      <color rgb="FFEF8B08"/>
      <name val="Aptos Narrow"/>
      <scheme val="minor"/>
    </font>
    <font>
      <sz val="24"/>
      <color theme="1"/>
      <name val="Aptos Narrow"/>
      <scheme val="minor"/>
    </font>
  </fonts>
  <fills count="15">
    <fill>
      <patternFill patternType="none"/>
    </fill>
    <fill>
      <patternFill patternType="gray125"/>
    </fill>
    <fill>
      <patternFill patternType="solid">
        <fgColor rgb="FFC6EFCE"/>
        <bgColor rgb="FFD9D9D9"/>
      </patternFill>
    </fill>
    <fill>
      <patternFill patternType="solid">
        <fgColor rgb="FFFFEB9C"/>
        <bgColor rgb="FFFFFFCC"/>
      </patternFill>
    </fill>
    <fill>
      <patternFill patternType="solid">
        <fgColor rgb="FFFFC7CE"/>
        <bgColor rgb="FFD9D9D9"/>
      </patternFill>
    </fill>
    <fill>
      <patternFill patternType="solid">
        <fgColor theme="3" tint="0.89999084444715716"/>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C7CE"/>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rgb="FFFFEB9C"/>
        <bgColor indexed="64"/>
      </patternFill>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92">
    <xf numFmtId="0" fontId="0" fillId="0" borderId="0" xfId="0"/>
    <xf numFmtId="9" fontId="0" fillId="0" borderId="0" xfId="0" applyNumberFormat="1"/>
    <xf numFmtId="9" fontId="1" fillId="0" borderId="0" xfId="0" applyNumberFormat="1" applyFont="1" applyAlignment="1">
      <alignment wrapText="1"/>
    </xf>
    <xf numFmtId="49" fontId="0" fillId="0" borderId="0" xfId="0" applyNumberFormat="1"/>
    <xf numFmtId="0" fontId="1" fillId="0" borderId="0" xfId="0" applyFont="1" applyAlignment="1">
      <alignment wrapText="1"/>
    </xf>
    <xf numFmtId="0" fontId="0" fillId="0" borderId="0" xfId="0" applyProtection="1">
      <protection hidden="1"/>
    </xf>
    <xf numFmtId="0" fontId="0" fillId="0" borderId="1" xfId="0" applyBorder="1" applyAlignment="1" applyProtection="1">
      <alignment horizontal="center"/>
      <protection hidden="1"/>
    </xf>
    <xf numFmtId="9" fontId="0" fillId="0" borderId="1" xfId="0" applyNumberFormat="1" applyBorder="1" applyAlignment="1" applyProtection="1">
      <alignment horizontal="center"/>
      <protection hidden="1"/>
    </xf>
    <xf numFmtId="0" fontId="0" fillId="0" borderId="0" xfId="0"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pplyProtection="1">
      <alignment horizontal="left" vertical="top" wrapText="1"/>
      <protection locked="0"/>
    </xf>
    <xf numFmtId="0" fontId="0" fillId="0" borderId="0" xfId="0"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9" fontId="0" fillId="0" borderId="2" xfId="0" applyNumberFormat="1" applyBorder="1" applyAlignment="1" applyProtection="1">
      <alignment horizontal="center"/>
      <protection hidden="1"/>
    </xf>
    <xf numFmtId="0" fontId="23" fillId="5" borderId="1" xfId="0" applyFont="1" applyFill="1" applyBorder="1"/>
    <xf numFmtId="0" fontId="23" fillId="5" borderId="4" xfId="0" applyFont="1" applyFill="1" applyBorder="1" applyAlignment="1" applyProtection="1">
      <alignment horizontal="center"/>
      <protection hidden="1"/>
    </xf>
    <xf numFmtId="0" fontId="23" fillId="5" borderId="1" xfId="0" applyFont="1" applyFill="1" applyBorder="1" applyAlignment="1" applyProtection="1">
      <alignment horizontal="center"/>
      <protection hidden="1"/>
    </xf>
    <xf numFmtId="9" fontId="23" fillId="5" borderId="4" xfId="0" applyNumberFormat="1" applyFont="1" applyFill="1" applyBorder="1" applyAlignment="1" applyProtection="1">
      <alignment horizontal="center"/>
      <protection hidden="1"/>
    </xf>
    <xf numFmtId="0" fontId="0" fillId="10" borderId="1" xfId="0" applyFill="1" applyBorder="1"/>
    <xf numFmtId="0" fontId="25" fillId="10" borderId="2" xfId="0" applyFont="1" applyFill="1" applyBorder="1"/>
    <xf numFmtId="0" fontId="25" fillId="10" borderId="1" xfId="0" applyFont="1" applyFill="1" applyBorder="1"/>
    <xf numFmtId="0" fontId="25" fillId="10" borderId="5" xfId="0" applyFont="1" applyFill="1" applyBorder="1"/>
    <xf numFmtId="0" fontId="3" fillId="10" borderId="1" xfId="0" applyFont="1" applyFill="1" applyBorder="1" applyAlignment="1" applyProtection="1">
      <alignment horizontal="center"/>
      <protection hidden="1"/>
    </xf>
    <xf numFmtId="0" fontId="3" fillId="10" borderId="1" xfId="0" applyFont="1" applyFill="1" applyBorder="1" applyAlignment="1" applyProtection="1">
      <alignment horizontal="center" wrapText="1"/>
      <protection hidden="1"/>
    </xf>
    <xf numFmtId="0" fontId="0" fillId="9" borderId="0" xfId="0" applyFill="1"/>
    <xf numFmtId="0" fontId="17" fillId="9" borderId="0" xfId="0" applyFont="1" applyFill="1"/>
    <xf numFmtId="0" fontId="8" fillId="14" borderId="3" xfId="0" applyFont="1" applyFill="1" applyBorder="1" applyAlignment="1">
      <alignment horizontal="left" vertical="center" wrapText="1"/>
    </xf>
    <xf numFmtId="0" fontId="8" fillId="14" borderId="3" xfId="0" applyFont="1" applyFill="1" applyBorder="1" applyAlignment="1" applyProtection="1">
      <alignment horizontal="left" vertical="center" wrapText="1"/>
      <protection locked="0"/>
    </xf>
    <xf numFmtId="0" fontId="8" fillId="14" borderId="3" xfId="0" applyFont="1" applyFill="1" applyBorder="1" applyAlignment="1" applyProtection="1">
      <alignment horizontal="left" vertical="center" wrapText="1"/>
      <protection hidden="1"/>
    </xf>
    <xf numFmtId="0" fontId="9" fillId="14" borderId="3" xfId="0" applyFont="1" applyFill="1" applyBorder="1" applyAlignment="1" applyProtection="1">
      <alignment horizontal="left" vertical="center" wrapText="1"/>
      <protection hidden="1"/>
    </xf>
    <xf numFmtId="0" fontId="0" fillId="0" borderId="0" xfId="0"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hidden="1"/>
    </xf>
    <xf numFmtId="0" fontId="4" fillId="6"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0" fillId="0" borderId="2" xfId="0" applyBorder="1" applyAlignment="1">
      <alignment horizontal="left" vertical="center" wrapText="1"/>
    </xf>
    <xf numFmtId="0" fontId="11" fillId="0" borderId="2" xfId="0" applyFont="1" applyBorder="1" applyAlignment="1" applyProtection="1">
      <alignment horizontal="left" vertical="center" wrapText="1"/>
      <protection hidden="1"/>
    </xf>
    <xf numFmtId="0" fontId="4" fillId="0" borderId="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hidden="1"/>
    </xf>
    <xf numFmtId="0" fontId="4" fillId="3" borderId="1" xfId="0" applyFont="1" applyFill="1" applyBorder="1" applyAlignment="1">
      <alignment horizontal="left" vertical="center" wrapText="1"/>
    </xf>
    <xf numFmtId="0" fontId="11" fillId="0" borderId="1" xfId="0" applyFont="1" applyBorder="1" applyAlignment="1" applyProtection="1">
      <alignment horizontal="left" vertical="center" wrapText="1"/>
      <protection hidden="1"/>
    </xf>
    <xf numFmtId="49" fontId="4" fillId="0" borderId="1" xfId="0" applyNumberFormat="1" applyFont="1" applyBorder="1" applyAlignment="1">
      <alignment horizontal="left" vertical="center" wrapText="1"/>
    </xf>
    <xf numFmtId="9" fontId="4" fillId="0" borderId="1" xfId="0" applyNumberFormat="1" applyFont="1" applyBorder="1" applyAlignment="1" applyProtection="1">
      <alignment horizontal="left" vertical="center" wrapText="1"/>
      <protection locked="0"/>
    </xf>
    <xf numFmtId="0" fontId="4" fillId="6"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7"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4" fillId="4"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8"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6" fillId="12" borderId="0" xfId="0" applyFont="1" applyFill="1" applyAlignment="1">
      <alignment horizontal="left" wrapText="1" indent="1"/>
    </xf>
    <xf numFmtId="0" fontId="20" fillId="12" borderId="0" xfId="0" applyFont="1" applyFill="1" applyAlignment="1">
      <alignment horizontal="left" wrapText="1" indent="1"/>
    </xf>
    <xf numFmtId="0" fontId="21" fillId="12" borderId="0" xfId="0" applyFont="1" applyFill="1" applyAlignment="1">
      <alignment horizontal="left" wrapText="1" indent="1"/>
    </xf>
    <xf numFmtId="0" fontId="29" fillId="9" borderId="0" xfId="0" applyFont="1" applyFill="1" applyAlignment="1">
      <alignment horizontal="left" wrapText="1" indent="1"/>
    </xf>
    <xf numFmtId="0" fontId="30" fillId="12" borderId="0" xfId="0" applyFont="1" applyFill="1" applyAlignment="1">
      <alignment horizontal="left" vertical="center" wrapText="1" indent="1"/>
    </xf>
    <xf numFmtId="0" fontId="31" fillId="12" borderId="0" xfId="0" applyFont="1" applyFill="1" applyAlignment="1">
      <alignment horizontal="left" vertical="center" wrapText="1" indent="1"/>
    </xf>
    <xf numFmtId="0" fontId="27" fillId="12" borderId="0" xfId="0" applyFont="1" applyFill="1" applyAlignment="1">
      <alignment horizontal="left" wrapText="1" indent="1"/>
    </xf>
    <xf numFmtId="0" fontId="21" fillId="11" borderId="0" xfId="0" applyFont="1" applyFill="1" applyAlignment="1">
      <alignment horizontal="left" wrapText="1" indent="1"/>
    </xf>
    <xf numFmtId="0" fontId="21" fillId="13" borderId="0" xfId="0" applyFont="1" applyFill="1" applyAlignment="1">
      <alignment horizontal="left" wrapText="1" indent="1"/>
    </xf>
    <xf numFmtId="0" fontId="21" fillId="8" borderId="0" xfId="0" applyFont="1" applyFill="1" applyAlignment="1">
      <alignment horizontal="left" wrapText="1" indent="1"/>
    </xf>
    <xf numFmtId="0" fontId="33" fillId="12" borderId="0" xfId="0" applyFont="1" applyFill="1" applyAlignment="1">
      <alignment horizontal="left" wrapText="1" indent="1"/>
    </xf>
    <xf numFmtId="0" fontId="0" fillId="12" borderId="0" xfId="0" applyFill="1" applyAlignment="1">
      <alignment horizontal="left" wrapText="1" indent="1"/>
    </xf>
    <xf numFmtId="0" fontId="21" fillId="12" borderId="0" xfId="0" applyFont="1" applyFill="1" applyAlignment="1">
      <alignment horizontal="left" vertical="top" wrapText="1" indent="1"/>
    </xf>
    <xf numFmtId="0" fontId="2" fillId="12" borderId="0" xfId="0" applyFont="1" applyFill="1" applyAlignment="1">
      <alignment horizontal="left" wrapText="1" indent="1"/>
    </xf>
    <xf numFmtId="0" fontId="0" fillId="9" borderId="0" xfId="0" applyFill="1" applyAlignment="1">
      <alignment horizontal="left" wrapText="1" indent="1"/>
    </xf>
    <xf numFmtId="0" fontId="29" fillId="0" borderId="0" xfId="0" applyFont="1" applyAlignment="1">
      <alignment horizontal="left" wrapText="1" indent="1"/>
    </xf>
    <xf numFmtId="0" fontId="0" fillId="0" borderId="0" xfId="0" applyAlignment="1">
      <alignment horizontal="left" wrapText="1" indent="1"/>
    </xf>
    <xf numFmtId="0" fontId="21" fillId="0" borderId="0" xfId="0" applyFont="1" applyAlignment="1">
      <alignment horizontal="left" wrapText="1" indent="1"/>
    </xf>
    <xf numFmtId="0" fontId="9" fillId="9" borderId="2"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35" fillId="0" borderId="0" xfId="0" applyFont="1" applyProtection="1">
      <protection hidden="1"/>
    </xf>
    <xf numFmtId="0" fontId="34" fillId="0" borderId="0" xfId="0" applyFont="1" applyAlignment="1" applyProtection="1">
      <alignment horizontal="left" vertical="center"/>
      <protection hidden="1"/>
    </xf>
    <xf numFmtId="0" fontId="8" fillId="9" borderId="0" xfId="0" applyFont="1" applyFill="1" applyAlignment="1" applyProtection="1">
      <alignment horizontal="left" vertical="top" wrapText="1"/>
      <protection hidden="1"/>
    </xf>
    <xf numFmtId="0" fontId="8" fillId="14" borderId="1" xfId="0" applyFont="1" applyFill="1" applyBorder="1" applyAlignment="1" applyProtection="1">
      <alignment horizontal="left" vertical="top" wrapText="1"/>
      <protection hidden="1"/>
    </xf>
    <xf numFmtId="0" fontId="4" fillId="0" borderId="1" xfId="0" applyFont="1" applyBorder="1" applyAlignment="1" applyProtection="1">
      <alignment horizontal="left" vertical="top" wrapText="1"/>
      <protection hidden="1"/>
    </xf>
    <xf numFmtId="0" fontId="4" fillId="0" borderId="2" xfId="0" applyFont="1" applyBorder="1" applyAlignment="1" applyProtection="1">
      <alignment horizontal="left" vertical="top" wrapText="1"/>
      <protection hidden="1"/>
    </xf>
    <xf numFmtId="0" fontId="4" fillId="0" borderId="0" xfId="0" applyFont="1" applyAlignment="1" applyProtection="1">
      <alignment horizontal="left" wrapText="1"/>
      <protection hidden="1"/>
    </xf>
  </cellXfs>
  <cellStyles count="1">
    <cellStyle name="Normal" xfId="0" builtinId="0"/>
  </cellStyles>
  <dxfs count="12">
    <dxf>
      <font>
        <color theme="1"/>
      </font>
      <fill>
        <patternFill patternType="solid">
          <bgColor rgb="FFC6EFCE"/>
        </patternFill>
      </fill>
    </dxf>
    <dxf>
      <font>
        <color theme="1"/>
      </font>
      <fill>
        <patternFill patternType="solid">
          <bgColor rgb="FFFFEB9C"/>
        </patternFill>
      </fill>
    </dxf>
    <dxf>
      <font>
        <color theme="1"/>
      </font>
      <fill>
        <patternFill patternType="solid">
          <bgColor rgb="FFFFC7CE"/>
        </patternFill>
      </fill>
    </dxf>
    <dxf>
      <font>
        <color theme="1"/>
      </font>
      <fill>
        <patternFill patternType="solid">
          <bgColor rgb="FFC0F1C8"/>
        </patternFill>
      </fill>
    </dxf>
    <dxf>
      <font>
        <color theme="1"/>
      </font>
      <fill>
        <patternFill patternType="solid">
          <bgColor rgb="FFFFEB9C"/>
        </patternFill>
      </fill>
    </dxf>
    <dxf>
      <fill>
        <patternFill patternType="solid">
          <bgColor rgb="FFFFC7CE"/>
        </patternFill>
      </fill>
    </dxf>
    <dxf>
      <font>
        <color theme="1"/>
      </font>
      <fill>
        <patternFill patternType="solid">
          <bgColor theme="7" tint="0.79998168889431442"/>
        </patternFill>
      </fill>
    </dxf>
    <dxf>
      <font>
        <color theme="1"/>
      </font>
      <fill>
        <patternFill patternType="solid">
          <bgColor rgb="FFFFEB9C"/>
        </patternFill>
      </fill>
    </dxf>
    <dxf>
      <font>
        <color theme="1"/>
      </font>
      <fill>
        <patternFill patternType="solid">
          <bgColor rgb="FFFFC7CE"/>
        </patternFill>
      </fill>
    </dxf>
    <dxf>
      <font>
        <color theme="1"/>
      </font>
      <fill>
        <patternFill patternType="solid">
          <bgColor theme="7" tint="0.79998168889431442"/>
        </patternFill>
      </fill>
    </dxf>
    <dxf>
      <font>
        <color theme="1"/>
      </font>
      <fill>
        <patternFill patternType="solid">
          <bgColor rgb="FFFFEB9C"/>
        </patternFill>
      </fill>
    </dxf>
    <dxf>
      <fill>
        <patternFill patternType="solid">
          <bgColor rgb="FFFFC7CE"/>
        </patternFill>
      </fill>
    </dxf>
  </dxfs>
  <tableStyles count="0" defaultTableStyle="TableStyleMedium2" defaultPivotStyle="PivotStyleMedium9"/>
  <colors>
    <mruColors>
      <color rgb="FFEF8B08"/>
      <color rgb="FFFFEB9C"/>
      <color rgb="FFFFC7CE"/>
      <color rgb="FFC0F1C8"/>
      <color rgb="FFC6EFCE"/>
      <color rgb="FFE85F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Bilan</a:t>
            </a:r>
          </a:p>
        </c:rich>
      </c:tx>
      <c:overlay val="0"/>
      <c:spPr>
        <a:noFill/>
        <a:ln w="25400">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stacked"/>
        <c:varyColors val="0"/>
        <c:ser>
          <c:idx val="0"/>
          <c:order val="0"/>
          <c:tx>
            <c:strRef>
              <c:f>Bilan!$B$1</c:f>
              <c:strCache>
                <c:ptCount val="1"/>
                <c:pt idx="0">
                  <c:v>Points possibles</c:v>
                </c:pt>
              </c:strCache>
            </c:strRef>
          </c:tx>
          <c:spPr>
            <a:solidFill>
              <a:srgbClr val="00B050"/>
            </a:solidFill>
            <a:ln>
              <a:solidFill>
                <a:srgbClr val="000000"/>
              </a:solidFill>
              <a:prstDash val="solid"/>
            </a:ln>
            <a:effectLst/>
          </c:spPr>
          <c:invertIfNegative val="0"/>
          <c:cat>
            <c:strRef>
              <c:f>Bilan!$A$2:$A$4</c:f>
              <c:strCache>
                <c:ptCount val="3"/>
                <c:pt idx="0">
                  <c:v>Niveau 1</c:v>
                </c:pt>
                <c:pt idx="1">
                  <c:v>Niveau 2</c:v>
                </c:pt>
                <c:pt idx="2">
                  <c:v>Niveau 3</c:v>
                </c:pt>
              </c:strCache>
            </c:strRef>
          </c:cat>
          <c:val>
            <c:numRef>
              <c:f>Bilan!$B$2:$B$4</c:f>
              <c:numCache>
                <c:formatCode>General</c:formatCode>
                <c:ptCount val="3"/>
                <c:pt idx="0">
                  <c:v>0</c:v>
                </c:pt>
                <c:pt idx="1">
                  <c:v>0</c:v>
                </c:pt>
                <c:pt idx="2">
                  <c:v>0</c:v>
                </c:pt>
              </c:numCache>
            </c:numRef>
          </c:val>
          <c:extLst>
            <c:ext xmlns:c16="http://schemas.microsoft.com/office/drawing/2014/chart" uri="{C3380CC4-5D6E-409C-BE32-E72D297353CC}">
              <c16:uniqueId val="{00000001-3B79-4D4A-AB02-C45B915629BC}"/>
            </c:ext>
          </c:extLst>
        </c:ser>
        <c:ser>
          <c:idx val="1"/>
          <c:order val="1"/>
          <c:tx>
            <c:strRef>
              <c:f>Bilan!$D$1</c:f>
              <c:strCache>
                <c:ptCount val="1"/>
                <c:pt idx="0">
                  <c:v>Points restants à obtenir</c:v>
                </c:pt>
              </c:strCache>
            </c:strRef>
          </c:tx>
          <c:spPr>
            <a:solidFill>
              <a:srgbClr val="747474"/>
            </a:solidFill>
            <a:ln>
              <a:solidFill>
                <a:srgbClr val="000000"/>
              </a:solidFill>
              <a:prstDash val="solid"/>
            </a:ln>
            <a:effectLst/>
          </c:spPr>
          <c:invertIfNegative val="0"/>
          <c:cat>
            <c:strRef>
              <c:f>Bilan!$A$2:$A$4</c:f>
              <c:strCache>
                <c:ptCount val="3"/>
                <c:pt idx="0">
                  <c:v>Niveau 1</c:v>
                </c:pt>
                <c:pt idx="1">
                  <c:v>Niveau 2</c:v>
                </c:pt>
                <c:pt idx="2">
                  <c:v>Niveau 3</c:v>
                </c:pt>
              </c:strCache>
            </c:strRef>
          </c:cat>
          <c:val>
            <c:numRef>
              <c:f>Bilan!$D$2:$D$4</c:f>
              <c:numCache>
                <c:formatCode>General</c:formatCode>
                <c:ptCount val="3"/>
                <c:pt idx="0">
                  <c:v>0</c:v>
                </c:pt>
                <c:pt idx="1">
                  <c:v>0</c:v>
                </c:pt>
                <c:pt idx="2">
                  <c:v>0</c:v>
                </c:pt>
              </c:numCache>
            </c:numRef>
          </c:val>
          <c:extLst>
            <c:ext xmlns:c16="http://schemas.microsoft.com/office/drawing/2014/chart" uri="{C3380CC4-5D6E-409C-BE32-E72D297353CC}">
              <c16:uniqueId val="{00000003-3B79-4D4A-AB02-C45B915629BC}"/>
            </c:ext>
          </c:extLst>
        </c:ser>
        <c:dLbls>
          <c:showLegendKey val="0"/>
          <c:showVal val="0"/>
          <c:showCatName val="0"/>
          <c:showSerName val="0"/>
          <c:showPercent val="0"/>
          <c:showBubbleSize val="0"/>
        </c:dLbls>
        <c:gapWidth val="150"/>
        <c:overlap val="100"/>
        <c:axId val="354525192"/>
        <c:axId val="702269448"/>
      </c:barChart>
      <c:catAx>
        <c:axId val="3545251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2269448"/>
        <c:crosses val="autoZero"/>
        <c:auto val="1"/>
        <c:lblAlgn val="ctr"/>
        <c:lblOffset val="100"/>
        <c:noMultiLvlLbl val="0"/>
      </c:catAx>
      <c:valAx>
        <c:axId val="702269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4525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50</xdr:row>
      <xdr:rowOff>0</xdr:rowOff>
    </xdr:from>
    <xdr:to>
      <xdr:col>1</xdr:col>
      <xdr:colOff>3514725</xdr:colOff>
      <xdr:row>50</xdr:row>
      <xdr:rowOff>2438400</xdr:rowOff>
    </xdr:to>
    <xdr:pic>
      <xdr:nvPicPr>
        <xdr:cNvPr id="3" name="Image 2">
          <a:extLst>
            <a:ext uri="{FF2B5EF4-FFF2-40B4-BE49-F238E27FC236}">
              <a16:creationId xmlns:a16="http://schemas.microsoft.com/office/drawing/2014/main" id="{6931FB5F-D479-4D85-B764-794536DD7BE0}"/>
            </a:ext>
            <a:ext uri="{147F2762-F138-4A5C-976F-8EAC2B608ADB}">
              <a16:predDERef xmlns:a16="http://schemas.microsoft.com/office/drawing/2014/main" pred="{EB38177E-717C-7386-FD0A-B35837FE1578}"/>
            </a:ext>
          </a:extLst>
        </xdr:cNvPr>
        <xdr:cNvPicPr>
          <a:picLocks noChangeAspect="1"/>
        </xdr:cNvPicPr>
      </xdr:nvPicPr>
      <xdr:blipFill>
        <a:blip xmlns:r="http://schemas.openxmlformats.org/officeDocument/2006/relationships" r:embed="rId1"/>
        <a:stretch>
          <a:fillRect/>
        </a:stretch>
      </xdr:blipFill>
      <xdr:spPr>
        <a:xfrm>
          <a:off x="685800" y="13058775"/>
          <a:ext cx="3352800" cy="243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276225</xdr:colOff>
      <xdr:row>6</xdr:row>
      <xdr:rowOff>180975</xdr:rowOff>
    </xdr:from>
    <xdr:to>
      <xdr:col>4</xdr:col>
      <xdr:colOff>809625</xdr:colOff>
      <xdr:row>21</xdr:row>
      <xdr:rowOff>66675</xdr:rowOff>
    </xdr:to>
    <xdr:graphicFrame macro="">
      <xdr:nvGraphicFramePr>
        <xdr:cNvPr id="2" name="Graphique 1">
          <a:extLst>
            <a:ext uri="{FF2B5EF4-FFF2-40B4-BE49-F238E27FC236}">
              <a16:creationId xmlns:a16="http://schemas.microsoft.com/office/drawing/2014/main" id="{3AEA460F-4177-4FA4-8B51-BE3A3DC7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4A9A-7CFC-3C48-A179-761E5D2ACB98}">
  <dimension ref="A1:J19"/>
  <sheetViews>
    <sheetView workbookViewId="0">
      <selection activeCell="A4" sqref="A4"/>
    </sheetView>
  </sheetViews>
  <sheetFormatPr defaultColWidth="11.42578125" defaultRowHeight="15"/>
  <cols>
    <col min="1" max="1" width="14" customWidth="1"/>
    <col min="5" max="5" width="29.7109375" customWidth="1"/>
    <col min="6" max="6" width="18.140625" customWidth="1"/>
  </cols>
  <sheetData>
    <row r="1" spans="1:7">
      <c r="A1" t="s">
        <v>0</v>
      </c>
      <c r="G1" t="s">
        <v>1</v>
      </c>
    </row>
    <row r="2" spans="1:7">
      <c r="A2" t="s">
        <v>2</v>
      </c>
      <c r="C2" s="2"/>
      <c r="G2" t="s">
        <v>3</v>
      </c>
    </row>
    <row r="3" spans="1:7">
      <c r="A3" t="s">
        <v>4</v>
      </c>
      <c r="C3" s="1"/>
      <c r="G3" t="s">
        <v>5</v>
      </c>
    </row>
    <row r="4" spans="1:7">
      <c r="A4" t="s">
        <v>6</v>
      </c>
      <c r="C4" s="1"/>
    </row>
    <row r="5" spans="1:7">
      <c r="C5" s="1"/>
    </row>
    <row r="6" spans="1:7">
      <c r="C6" s="1"/>
    </row>
    <row r="11" spans="1:7">
      <c r="C11" s="3"/>
    </row>
    <row r="14" spans="1:7">
      <c r="A14" s="4"/>
    </row>
    <row r="19" spans="10:10">
      <c r="J19"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EEAF5-A6F3-4DF0-AE16-B1E6DC721493}">
  <dimension ref="B1:C61"/>
  <sheetViews>
    <sheetView showGridLines="0" tabSelected="1" workbookViewId="0"/>
  </sheetViews>
  <sheetFormatPr defaultColWidth="8.85546875" defaultRowHeight="15"/>
  <cols>
    <col min="1" max="1" width="29.28515625" style="27" customWidth="1"/>
    <col min="2" max="2" width="95.140625" style="78" customWidth="1"/>
    <col min="3" max="3" width="50.7109375" style="27" customWidth="1"/>
    <col min="4" max="4" width="29.7109375" style="27" customWidth="1"/>
    <col min="5" max="16384" width="8.85546875" style="27"/>
  </cols>
  <sheetData>
    <row r="1" spans="2:3" ht="33">
      <c r="B1" s="64" t="s">
        <v>8</v>
      </c>
    </row>
    <row r="2" spans="2:3" ht="14.25" customHeight="1">
      <c r="B2" s="65"/>
    </row>
    <row r="3" spans="2:3" ht="15.95">
      <c r="B3" s="66" t="s">
        <v>9</v>
      </c>
    </row>
    <row r="4" spans="2:3">
      <c r="B4" s="66"/>
    </row>
    <row r="5" spans="2:3" ht="21">
      <c r="B5" s="67" t="s">
        <v>10</v>
      </c>
    </row>
    <row r="6" spans="2:3" ht="12.75" customHeight="1">
      <c r="B6" s="79"/>
    </row>
    <row r="7" spans="2:3" ht="15.95">
      <c r="B7" s="66" t="s">
        <v>11</v>
      </c>
    </row>
    <row r="8" spans="2:3">
      <c r="B8" s="66"/>
    </row>
    <row r="9" spans="2:3" ht="17.100000000000001">
      <c r="B9" s="68" t="s">
        <v>12</v>
      </c>
    </row>
    <row r="10" spans="2:3" ht="32.1">
      <c r="B10" s="66" t="s">
        <v>13</v>
      </c>
    </row>
    <row r="11" spans="2:3">
      <c r="B11" s="66"/>
    </row>
    <row r="12" spans="2:3" ht="17.100000000000001">
      <c r="B12" s="68" t="s">
        <v>14</v>
      </c>
    </row>
    <row r="13" spans="2:3" ht="32.1">
      <c r="B13" s="66" t="s">
        <v>15</v>
      </c>
    </row>
    <row r="14" spans="2:3">
      <c r="B14" s="66"/>
    </row>
    <row r="15" spans="2:3" ht="17.100000000000001">
      <c r="B15" s="68" t="s">
        <v>16</v>
      </c>
    </row>
    <row r="16" spans="2:3" ht="32.1">
      <c r="B16" s="66" t="s">
        <v>17</v>
      </c>
      <c r="C16" s="28"/>
    </row>
    <row r="17" spans="2:2">
      <c r="B17" s="66"/>
    </row>
    <row r="18" spans="2:2" ht="17.100000000000001">
      <c r="B18" s="69" t="s">
        <v>18</v>
      </c>
    </row>
    <row r="19" spans="2:2" ht="32.1">
      <c r="B19" s="66" t="s">
        <v>19</v>
      </c>
    </row>
    <row r="20" spans="2:2">
      <c r="B20" s="66"/>
    </row>
    <row r="21" spans="2:2" ht="15.95">
      <c r="B21" s="66" t="s">
        <v>20</v>
      </c>
    </row>
    <row r="22" spans="2:2" ht="15.95">
      <c r="B22" s="70" t="s">
        <v>21</v>
      </c>
    </row>
    <row r="23" spans="2:2">
      <c r="B23" s="66"/>
    </row>
    <row r="24" spans="2:2" ht="15.95">
      <c r="B24" s="71" t="s">
        <v>22</v>
      </c>
    </row>
    <row r="25" spans="2:2" ht="15.95">
      <c r="B25" s="72" t="s">
        <v>23</v>
      </c>
    </row>
    <row r="26" spans="2:2" ht="15.95">
      <c r="B26" s="73" t="s">
        <v>24</v>
      </c>
    </row>
    <row r="27" spans="2:2">
      <c r="B27" s="66"/>
    </row>
    <row r="28" spans="2:2" ht="19.5" customHeight="1">
      <c r="B28" s="68" t="s">
        <v>25</v>
      </c>
    </row>
    <row r="29" spans="2:2" ht="112.5" customHeight="1">
      <c r="B29" s="81" t="s">
        <v>26</v>
      </c>
    </row>
    <row r="30" spans="2:2" ht="15.95">
      <c r="B30" s="71" t="s">
        <v>27</v>
      </c>
    </row>
    <row r="31" spans="2:2" ht="15.95">
      <c r="B31" s="72" t="s">
        <v>28</v>
      </c>
    </row>
    <row r="32" spans="2:2" ht="15.95">
      <c r="B32" s="73" t="s">
        <v>29</v>
      </c>
    </row>
    <row r="33" spans="2:2">
      <c r="B33" s="66"/>
    </row>
    <row r="34" spans="2:2" ht="17.100000000000001">
      <c r="B34" s="68" t="s">
        <v>30</v>
      </c>
    </row>
    <row r="35" spans="2:2" ht="32.25" customHeight="1">
      <c r="B35" s="81" t="s">
        <v>31</v>
      </c>
    </row>
    <row r="36" spans="2:2">
      <c r="B36" s="66"/>
    </row>
    <row r="37" spans="2:2" ht="17.100000000000001">
      <c r="B37" s="74" t="s">
        <v>32</v>
      </c>
    </row>
    <row r="38" spans="2:2" ht="48">
      <c r="B38" s="66" t="s">
        <v>33</v>
      </c>
    </row>
    <row r="39" spans="2:2" ht="10.5" customHeight="1">
      <c r="B39" s="66"/>
    </row>
    <row r="40" spans="2:2" ht="32.1">
      <c r="B40" s="66" t="s">
        <v>34</v>
      </c>
    </row>
    <row r="41" spans="2:2" ht="11.25" customHeight="1">
      <c r="B41" s="66"/>
    </row>
    <row r="42" spans="2:2" ht="32.1">
      <c r="B42" s="66" t="s">
        <v>35</v>
      </c>
    </row>
    <row r="43" spans="2:2" ht="9.75" customHeight="1">
      <c r="B43" s="66"/>
    </row>
    <row r="44" spans="2:2" ht="50.25" customHeight="1">
      <c r="B44" s="80" t="s">
        <v>36</v>
      </c>
    </row>
    <row r="45" spans="2:2">
      <c r="B45" s="66"/>
    </row>
    <row r="46" spans="2:2" ht="21">
      <c r="B46" s="67" t="s">
        <v>37</v>
      </c>
    </row>
    <row r="47" spans="2:2" ht="7.5" customHeight="1">
      <c r="B47" s="79"/>
    </row>
    <row r="48" spans="2:2" ht="39" customHeight="1">
      <c r="B48" s="76" t="s">
        <v>38</v>
      </c>
    </row>
    <row r="49" spans="2:2" ht="76.5" customHeight="1">
      <c r="B49" s="66" t="s">
        <v>39</v>
      </c>
    </row>
    <row r="50" spans="2:2" ht="17.25" customHeight="1">
      <c r="B50" s="66"/>
    </row>
    <row r="51" spans="2:2" ht="201" customHeight="1">
      <c r="B51" s="66"/>
    </row>
    <row r="52" spans="2:2">
      <c r="B52" s="66"/>
    </row>
    <row r="53" spans="2:2" ht="21">
      <c r="B53" s="67" t="s">
        <v>40</v>
      </c>
    </row>
    <row r="54" spans="2:2" ht="11.25" customHeight="1">
      <c r="B54" s="79"/>
    </row>
    <row r="55" spans="2:2" ht="32.1">
      <c r="B55" s="77" t="s">
        <v>41</v>
      </c>
    </row>
    <row r="56" spans="2:2" ht="32.1">
      <c r="B56" s="77" t="s">
        <v>42</v>
      </c>
    </row>
    <row r="57" spans="2:2">
      <c r="B57" s="75"/>
    </row>
    <row r="60" spans="2:2" ht="68.25" customHeight="1">
      <c r="B60" s="80" t="e" vm="1">
        <v>#VALUE!</v>
      </c>
    </row>
    <row r="61" spans="2:2" ht="68.25" customHeight="1">
      <c r="B61" s="80" t="e" vm="2">
        <v>#VALUE!</v>
      </c>
    </row>
  </sheetData>
  <sheetProtection algorithmName="SHA-512" hashValue="3Dl33MZopdLlDDzw5jC7ZzZsfYbuy+QAyqtDJvbhGyeY8UE//zLj2YQoPLOnHrKdYGTe8OheXgDnxlWm1Qganw==" saltValue="y2kHDmpXM4HahgAJx8zF2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8"/>
  <sheetViews>
    <sheetView showGridLines="0" zoomScale="110" zoomScaleNormal="110" workbookViewId="0">
      <pane ySplit="1" topLeftCell="A2" activePane="bottomLeft" state="frozen"/>
      <selection pane="bottomLeft" activeCell="D35" sqref="D35"/>
      <selection activeCell="A2" sqref="A2"/>
    </sheetView>
  </sheetViews>
  <sheetFormatPr defaultColWidth="8.85546875" defaultRowHeight="54" customHeight="1"/>
  <cols>
    <col min="1" max="1" width="49.140625" style="8" customWidth="1"/>
    <col min="2" max="2" width="79.7109375" style="8" customWidth="1"/>
    <col min="3" max="3" width="56.42578125" style="8" customWidth="1"/>
    <col min="4" max="4" width="20.42578125" style="11" customWidth="1"/>
    <col min="5" max="5" width="15.42578125" style="12" customWidth="1"/>
    <col min="6" max="6" width="13" style="8" customWidth="1"/>
    <col min="7" max="7" width="13.28515625" style="8" customWidth="1"/>
    <col min="8" max="8" width="81" style="8" customWidth="1"/>
    <col min="9" max="9" width="60" style="13" customWidth="1"/>
    <col min="10" max="10" width="15.28515625" style="8" customWidth="1"/>
    <col min="11" max="11" width="15.42578125" style="8" customWidth="1"/>
    <col min="12" max="12" width="56.140625" style="8" hidden="1" customWidth="1"/>
    <col min="13" max="16384" width="8.85546875" style="8"/>
  </cols>
  <sheetData>
    <row r="1" spans="1:12" s="33" customFormat="1" ht="54" customHeight="1">
      <c r="A1" s="29" t="s">
        <v>43</v>
      </c>
      <c r="B1" s="29" t="s">
        <v>44</v>
      </c>
      <c r="C1" s="29" t="s">
        <v>45</v>
      </c>
      <c r="D1" s="30" t="s">
        <v>46</v>
      </c>
      <c r="E1" s="31" t="s">
        <v>47</v>
      </c>
      <c r="F1" s="29" t="s">
        <v>48</v>
      </c>
      <c r="G1" s="29" t="s">
        <v>49</v>
      </c>
      <c r="H1" s="29" t="s">
        <v>50</v>
      </c>
      <c r="I1" s="32" t="s">
        <v>51</v>
      </c>
      <c r="J1" s="29" t="s">
        <v>52</v>
      </c>
      <c r="K1" s="29" t="s">
        <v>53</v>
      </c>
      <c r="L1" s="29" t="s">
        <v>54</v>
      </c>
    </row>
    <row r="2" spans="1:12" ht="54" customHeight="1">
      <c r="A2" s="82" t="s">
        <v>55</v>
      </c>
      <c r="B2" s="34" t="s">
        <v>56</v>
      </c>
      <c r="C2" s="34" t="s">
        <v>57</v>
      </c>
      <c r="D2" s="40"/>
      <c r="E2" s="41" t="e" cm="1">
        <f t="array" ref="E2">_xlfn.IFS(D2="Oui",6,D2="Non",0)</f>
        <v>#N/A</v>
      </c>
      <c r="F2" s="42" t="s">
        <v>58</v>
      </c>
      <c r="G2" s="43" t="s">
        <v>59</v>
      </c>
      <c r="H2" s="44" t="s">
        <v>60</v>
      </c>
      <c r="I2" s="45" t="str">
        <f>IF(D2="Non","Nommer une personne responsable","")</f>
        <v/>
      </c>
      <c r="J2" s="36" t="s">
        <v>61</v>
      </c>
      <c r="K2" s="36"/>
      <c r="L2" s="39" t="s">
        <v>62</v>
      </c>
    </row>
    <row r="3" spans="1:12" ht="54" customHeight="1">
      <c r="A3" s="83" t="s">
        <v>63</v>
      </c>
      <c r="B3" s="35" t="s">
        <v>64</v>
      </c>
      <c r="C3" s="35" t="s">
        <v>65</v>
      </c>
      <c r="D3" s="46"/>
      <c r="E3" s="47" t="e" cm="1">
        <f t="array" ref="E3">_xlfn.IFS(D3="Oui",2,D3="Non",0)</f>
        <v>#N/A</v>
      </c>
      <c r="F3" s="35" t="s">
        <v>66</v>
      </c>
      <c r="G3" s="48" t="s">
        <v>67</v>
      </c>
      <c r="H3" s="39" t="s">
        <v>68</v>
      </c>
      <c r="I3" s="49" t="str">
        <f>IF(D3="Non","Sensibiliser les fournisseurs/exposants à l'accessibilité","")</f>
        <v/>
      </c>
      <c r="J3" s="37" t="s">
        <v>61</v>
      </c>
      <c r="K3" s="37"/>
      <c r="L3" s="39" t="s">
        <v>62</v>
      </c>
    </row>
    <row r="4" spans="1:12" ht="54" customHeight="1">
      <c r="A4" s="83" t="s">
        <v>69</v>
      </c>
      <c r="B4" s="35" t="s">
        <v>70</v>
      </c>
      <c r="C4" s="50" t="s">
        <v>71</v>
      </c>
      <c r="D4" s="51"/>
      <c r="E4" s="47" t="e" cm="1">
        <f t="array" ref="E4">_xlfn.IFS(D4="Oui",6,D4="Non",0,D4="Non applicable","N/A")</f>
        <v>#N/A</v>
      </c>
      <c r="F4" s="52" t="s">
        <v>58</v>
      </c>
      <c r="G4" s="53" t="s">
        <v>59</v>
      </c>
      <c r="H4" s="54" t="s">
        <v>72</v>
      </c>
      <c r="I4" s="49" t="str">
        <f>IF(D4="Non","Former l'équipe permanente","")</f>
        <v/>
      </c>
      <c r="J4" s="37" t="s">
        <v>61</v>
      </c>
      <c r="K4" s="37"/>
      <c r="L4" s="39" t="s">
        <v>62</v>
      </c>
    </row>
    <row r="5" spans="1:12" ht="54" customHeight="1">
      <c r="A5" s="83" t="s">
        <v>73</v>
      </c>
      <c r="B5" s="55" t="s">
        <v>74</v>
      </c>
      <c r="C5" s="35"/>
      <c r="D5" s="46"/>
      <c r="E5" s="47" t="e" cm="1">
        <f t="array" ref="E5">_xlfn.IFS(D5="Oui",6,D5="Non",0)</f>
        <v>#N/A</v>
      </c>
      <c r="F5" s="35" t="s">
        <v>58</v>
      </c>
      <c r="G5" s="56" t="s">
        <v>67</v>
      </c>
      <c r="H5" s="54" t="s">
        <v>75</v>
      </c>
      <c r="I5" s="49" t="str">
        <f>IF(D5="Non","Impliquer des personnes en situation de handicap dans l'organisation du festival","")</f>
        <v/>
      </c>
      <c r="J5" s="37" t="s">
        <v>61</v>
      </c>
      <c r="K5" s="37"/>
      <c r="L5" s="39" t="s">
        <v>62</v>
      </c>
    </row>
    <row r="6" spans="1:12" ht="54" customHeight="1">
      <c r="A6" s="83" t="s">
        <v>76</v>
      </c>
      <c r="B6" s="55" t="s">
        <v>77</v>
      </c>
      <c r="C6" s="35" t="s">
        <v>78</v>
      </c>
      <c r="D6" s="46"/>
      <c r="E6" s="47" t="e" cm="1">
        <f t="array" ref="E6">_xlfn.IFS(D6="Oui",6,D6="Non",0)</f>
        <v>#N/A</v>
      </c>
      <c r="F6" s="35" t="s">
        <v>58</v>
      </c>
      <c r="G6" s="56" t="s">
        <v>67</v>
      </c>
      <c r="H6" s="54" t="s">
        <v>79</v>
      </c>
      <c r="I6" s="49" t="str">
        <f>IF(D6="Non","Créer un plan d'action sur 3 ou 5 ans","")</f>
        <v/>
      </c>
      <c r="J6" s="37" t="s">
        <v>61</v>
      </c>
      <c r="K6" s="37"/>
      <c r="L6" s="39" t="s">
        <v>62</v>
      </c>
    </row>
    <row r="7" spans="1:12" ht="54" customHeight="1">
      <c r="A7" s="83" t="s">
        <v>80</v>
      </c>
      <c r="B7" s="35" t="s">
        <v>81</v>
      </c>
      <c r="C7" s="35"/>
      <c r="D7" s="46"/>
      <c r="E7" s="47" t="e" cm="1">
        <f t="array" ref="E7">_xlfn.IFS(D7="Oui",4,D7="Non",0,D7="Non applicable","N/A")</f>
        <v>#N/A</v>
      </c>
      <c r="F7" s="35" t="s">
        <v>82</v>
      </c>
      <c r="G7" s="48" t="s">
        <v>59</v>
      </c>
      <c r="H7" s="54" t="s">
        <v>83</v>
      </c>
      <c r="I7" s="49" t="str">
        <f>IF(D7="Non","Faire tester le parcours par des personnes en situation de handicap","")</f>
        <v/>
      </c>
      <c r="J7" s="37" t="s">
        <v>61</v>
      </c>
      <c r="K7" s="37"/>
      <c r="L7" s="39" t="s">
        <v>84</v>
      </c>
    </row>
    <row r="8" spans="1:12" ht="54" customHeight="1">
      <c r="A8" s="83" t="s">
        <v>85</v>
      </c>
      <c r="B8" s="35" t="s">
        <v>86</v>
      </c>
      <c r="C8" s="50" t="s">
        <v>87</v>
      </c>
      <c r="D8" s="46"/>
      <c r="E8" s="47" t="e" cm="1">
        <f t="array" ref="E8">_xlfn.IFS(D8="Oui",2,D8="Non",0)</f>
        <v>#N/A</v>
      </c>
      <c r="F8" s="35" t="s">
        <v>66</v>
      </c>
      <c r="G8" s="53" t="s">
        <v>67</v>
      </c>
      <c r="H8" s="54" t="s">
        <v>88</v>
      </c>
      <c r="I8" s="49" t="str">
        <f>IF(D8="Non","Rédiger un aide-mémoire de bonnes pratiques d'accueil","")</f>
        <v/>
      </c>
      <c r="J8" s="37" t="s">
        <v>61</v>
      </c>
      <c r="K8" s="37"/>
      <c r="L8" s="39" t="s">
        <v>62</v>
      </c>
    </row>
    <row r="9" spans="1:12" ht="54" customHeight="1">
      <c r="A9" s="84" t="s">
        <v>89</v>
      </c>
      <c r="B9" s="55" t="s">
        <v>90</v>
      </c>
      <c r="C9" s="35"/>
      <c r="D9" s="46"/>
      <c r="E9" s="47" t="e" cm="1">
        <f t="array" ref="E9">_xlfn.IFS(D9="Oui",4,D9="Non",0,D9="Non applicable","N/A")</f>
        <v>#N/A</v>
      </c>
      <c r="F9" s="35" t="s">
        <v>82</v>
      </c>
      <c r="G9" s="53" t="s">
        <v>91</v>
      </c>
      <c r="H9" s="54" t="s">
        <v>92</v>
      </c>
      <c r="I9" s="49" t="str">
        <f>IF(D9="Non","Évaluer l'accessibilité numérique de votre site web","")</f>
        <v/>
      </c>
      <c r="J9" s="37" t="s">
        <v>61</v>
      </c>
      <c r="K9" s="37"/>
      <c r="L9" s="39" t="s">
        <v>93</v>
      </c>
    </row>
    <row r="10" spans="1:12" ht="80.25" customHeight="1">
      <c r="A10" s="84" t="s">
        <v>94</v>
      </c>
      <c r="B10" s="35" t="s">
        <v>95</v>
      </c>
      <c r="C10" s="35" t="s">
        <v>96</v>
      </c>
      <c r="D10" s="46"/>
      <c r="E10" s="47" t="e" cm="1">
        <f t="array" ref="E10">_xlfn.IFS(D10="Oui",4,D10="Non",0,D10="Non applicable","N/A")</f>
        <v>#N/A</v>
      </c>
      <c r="F10" s="35" t="s">
        <v>82</v>
      </c>
      <c r="G10" s="53" t="s">
        <v>59</v>
      </c>
      <c r="H10" s="54" t="s">
        <v>97</v>
      </c>
      <c r="I10" s="49" t="str">
        <f>IF(D10="Non","Valider la clarté et la lisibilité des infos pratiques sur le site web et autres supports de communication","")</f>
        <v/>
      </c>
      <c r="J10" s="37" t="s">
        <v>61</v>
      </c>
      <c r="K10" s="37"/>
      <c r="L10" s="39" t="s">
        <v>93</v>
      </c>
    </row>
    <row r="11" spans="1:12" ht="54" customHeight="1">
      <c r="A11" s="84" t="s">
        <v>98</v>
      </c>
      <c r="B11" s="35" t="s">
        <v>99</v>
      </c>
      <c r="C11" s="35" t="s">
        <v>100</v>
      </c>
      <c r="D11" s="46"/>
      <c r="E11" s="47" t="e" cm="1">
        <f t="array" ref="E11">_xlfn.IFS(D11="Non",0,D11="Oui", 6,D11="Non applicable","N/A")</f>
        <v>#N/A</v>
      </c>
      <c r="F11" s="35" t="s">
        <v>58</v>
      </c>
      <c r="G11" s="48" t="s">
        <v>59</v>
      </c>
      <c r="H11" s="54" t="s">
        <v>101</v>
      </c>
      <c r="I11" s="49" t="str">
        <f>IF(D11="Non","Communiquer les informations d'accessibilité sur différents supports","")</f>
        <v/>
      </c>
      <c r="J11" s="37" t="s">
        <v>61</v>
      </c>
      <c r="K11" s="37"/>
      <c r="L11" s="39" t="s">
        <v>102</v>
      </c>
    </row>
    <row r="12" spans="1:12" ht="54" customHeight="1">
      <c r="A12" s="84" t="s">
        <v>103</v>
      </c>
      <c r="B12" s="35" t="s">
        <v>104</v>
      </c>
      <c r="C12" s="35" t="s">
        <v>105</v>
      </c>
      <c r="D12" s="46"/>
      <c r="E12" s="47" t="e" cm="1">
        <f t="array" ref="E12">_xlfn.IFS(D12="Oui",6,D12="Non",0,D12="Non applicable","N/A")</f>
        <v>#N/A</v>
      </c>
      <c r="F12" s="35" t="s">
        <v>58</v>
      </c>
      <c r="G12" s="53" t="s">
        <v>59</v>
      </c>
      <c r="H12" s="54" t="s">
        <v>106</v>
      </c>
      <c r="I12" s="49" t="str">
        <f>IF(D12="Non","Accéder facilement aux informations sur l'accessibilité depuis la page d'accueil du site web","")</f>
        <v/>
      </c>
      <c r="J12" s="37" t="s">
        <v>61</v>
      </c>
      <c r="K12" s="37"/>
      <c r="L12" s="39" t="s">
        <v>107</v>
      </c>
    </row>
    <row r="13" spans="1:12" ht="54" customHeight="1">
      <c r="A13" s="84" t="s">
        <v>108</v>
      </c>
      <c r="B13" s="35" t="s">
        <v>109</v>
      </c>
      <c r="C13" s="35" t="s">
        <v>110</v>
      </c>
      <c r="D13" s="46"/>
      <c r="E13" s="47" t="e" cm="1">
        <f t="array" ref="E13">_xlfn.IFS(D13="Oui",4,D13="Non",0)</f>
        <v>#N/A</v>
      </c>
      <c r="F13" s="35" t="s">
        <v>82</v>
      </c>
      <c r="G13" s="48" t="s">
        <v>67</v>
      </c>
      <c r="H13" s="54" t="s">
        <v>111</v>
      </c>
      <c r="I13" s="49" t="str">
        <f>IF(D13="Non","Transmettre les informations au public par des moyens complémentaires","")</f>
        <v/>
      </c>
      <c r="J13" s="37" t="s">
        <v>61</v>
      </c>
      <c r="K13" s="37"/>
      <c r="L13" s="39" t="s">
        <v>62</v>
      </c>
    </row>
    <row r="14" spans="1:12" ht="54" customHeight="1">
      <c r="A14" s="84" t="s">
        <v>112</v>
      </c>
      <c r="B14" s="35" t="s">
        <v>113</v>
      </c>
      <c r="C14" s="35"/>
      <c r="D14" s="46"/>
      <c r="E14" s="47" t="e" cm="1">
        <f t="array" ref="E14">_xlfn.IFS(D14="Oui",2,D14="Non",0,D14="Non applicable","N/A")</f>
        <v>#N/A</v>
      </c>
      <c r="F14" s="35" t="s">
        <v>66</v>
      </c>
      <c r="G14" s="48" t="s">
        <v>67</v>
      </c>
      <c r="H14" s="54" t="s">
        <v>114</v>
      </c>
      <c r="I14" s="49" t="str">
        <f>IF(D14="Non","Présenter la programmation de l'événement sous différents formats","")</f>
        <v/>
      </c>
      <c r="J14" s="37" t="s">
        <v>61</v>
      </c>
      <c r="K14" s="37"/>
      <c r="L14" s="35" t="s">
        <v>115</v>
      </c>
    </row>
    <row r="15" spans="1:12" ht="80.25" customHeight="1">
      <c r="A15" s="84" t="s">
        <v>116</v>
      </c>
      <c r="B15" s="35" t="s">
        <v>117</v>
      </c>
      <c r="C15" s="35" t="s">
        <v>118</v>
      </c>
      <c r="D15" s="46"/>
      <c r="E15" s="47" t="e" cm="1">
        <f t="array" ref="E15">_xlfn.IFS(D15="Oui",6,D15="Non",0,D15="Non applicable","N/A")</f>
        <v>#N/A</v>
      </c>
      <c r="F15" s="35" t="s">
        <v>58</v>
      </c>
      <c r="G15" s="53" t="s">
        <v>67</v>
      </c>
      <c r="H15" s="54" t="s">
        <v>119</v>
      </c>
      <c r="I15" s="49" t="str">
        <f>IF(D15="Non","Structurer la présentation de la programmation","")</f>
        <v/>
      </c>
      <c r="J15" s="37" t="s">
        <v>61</v>
      </c>
      <c r="K15" s="37"/>
      <c r="L15" s="35" t="s">
        <v>115</v>
      </c>
    </row>
    <row r="16" spans="1:12" ht="54" customHeight="1">
      <c r="A16" s="83" t="s">
        <v>120</v>
      </c>
      <c r="B16" s="55" t="s">
        <v>121</v>
      </c>
      <c r="C16" s="35" t="s">
        <v>122</v>
      </c>
      <c r="D16" s="46"/>
      <c r="E16" s="47" t="e" cm="1">
        <f t="array" ref="E16">_xlfn.IFS(D16="Oui",4,D16="Non",0)</f>
        <v>#N/A</v>
      </c>
      <c r="F16" s="35" t="s">
        <v>82</v>
      </c>
      <c r="G16" s="48" t="s">
        <v>67</v>
      </c>
      <c r="H16" s="54" t="s">
        <v>123</v>
      </c>
      <c r="I16" s="57" t="str">
        <f>IF(D16="Non","Désigner et former des personnes dédiées aux besoins spécifiques pendant l'événement.","")</f>
        <v/>
      </c>
      <c r="J16" s="37" t="s">
        <v>61</v>
      </c>
      <c r="K16" s="37"/>
      <c r="L16" s="39" t="s">
        <v>62</v>
      </c>
    </row>
    <row r="17" spans="1:12" ht="54" customHeight="1">
      <c r="A17" s="83" t="s">
        <v>124</v>
      </c>
      <c r="B17" s="55" t="s">
        <v>125</v>
      </c>
      <c r="C17" s="35" t="s">
        <v>126</v>
      </c>
      <c r="D17" s="46"/>
      <c r="E17" s="47" t="e" cm="1">
        <f t="array" ref="E17">_xlfn.IFS(D17="Oui",4,D17="Non",0,D17="Non applicable","N/A")</f>
        <v>#N/A</v>
      </c>
      <c r="F17" s="35" t="s">
        <v>82</v>
      </c>
      <c r="G17" s="53" t="s">
        <v>59</v>
      </c>
      <c r="H17" s="54" t="s">
        <v>127</v>
      </c>
      <c r="I17" s="57" t="str">
        <f>IF(D17="Non","Identifier clairement l'équipe dédiée (kiosque de repérage, vêtement coloré, etc.).","")</f>
        <v/>
      </c>
      <c r="J17" s="37" t="s">
        <v>61</v>
      </c>
      <c r="K17" s="37"/>
      <c r="L17" s="35" t="s">
        <v>128</v>
      </c>
    </row>
    <row r="18" spans="1:12" ht="54" customHeight="1">
      <c r="A18" s="84" t="s">
        <v>129</v>
      </c>
      <c r="B18" s="35" t="s">
        <v>130</v>
      </c>
      <c r="C18" s="35"/>
      <c r="D18" s="46"/>
      <c r="E18" s="47" t="e" cm="1">
        <f t="array" ref="E18">_xlfn.IFS(D18="Oui",6,D18="Non",0)</f>
        <v>#N/A</v>
      </c>
      <c r="F18" s="35" t="s">
        <v>58</v>
      </c>
      <c r="G18" s="48" t="s">
        <v>59</v>
      </c>
      <c r="H18" s="54" t="s">
        <v>131</v>
      </c>
      <c r="I18" s="57" t="str">
        <f>IF(D18="Non","Prévoir des espaces de stationnement réservés aux personnes handicapées.","")</f>
        <v/>
      </c>
      <c r="J18" s="37"/>
      <c r="K18" s="37" t="s">
        <v>61</v>
      </c>
      <c r="L18" s="39" t="s">
        <v>62</v>
      </c>
    </row>
    <row r="19" spans="1:12" ht="54" customHeight="1">
      <c r="A19" s="84" t="s">
        <v>132</v>
      </c>
      <c r="B19" s="35" t="s">
        <v>133</v>
      </c>
      <c r="C19" s="35" t="s">
        <v>134</v>
      </c>
      <c r="D19" s="46"/>
      <c r="E19" s="47" t="e" cm="1">
        <f t="array" ref="E19">_xlfn.IFS(D19="Oui",6,D19="Non",0,D19="Non applicable","N/A")</f>
        <v>#N/A</v>
      </c>
      <c r="F19" s="35" t="s">
        <v>58</v>
      </c>
      <c r="G19" s="53" t="s">
        <v>67</v>
      </c>
      <c r="H19" s="54" t="s">
        <v>135</v>
      </c>
      <c r="I19" s="57" t="str">
        <f>IF(D19="Non","Situer les espaces réservés à proximité de l'entrée principale.","")</f>
        <v/>
      </c>
      <c r="J19" s="37"/>
      <c r="K19" s="37" t="s">
        <v>61</v>
      </c>
      <c r="L19" s="39" t="s">
        <v>136</v>
      </c>
    </row>
    <row r="20" spans="1:12" ht="54" customHeight="1">
      <c r="A20" s="84" t="s">
        <v>137</v>
      </c>
      <c r="B20" s="35" t="s">
        <v>138</v>
      </c>
      <c r="C20" s="35" t="s">
        <v>139</v>
      </c>
      <c r="D20" s="46"/>
      <c r="E20" s="47" t="e" cm="1">
        <f t="array" ref="E20">_xlfn.IFS(D20="Oui",6,D20="Non",0,D20="Non applicable","N/A")</f>
        <v>#N/A</v>
      </c>
      <c r="F20" s="35" t="s">
        <v>58</v>
      </c>
      <c r="G20" s="53" t="s">
        <v>59</v>
      </c>
      <c r="H20" s="54" t="s">
        <v>140</v>
      </c>
      <c r="I20" s="57" t="str">
        <f>IF(D20="Non","Prévoir des espaces réservés assez larges (environ 4 m) pour déplier une rampe d'accès latérale.","")</f>
        <v/>
      </c>
      <c r="J20" s="37"/>
      <c r="K20" s="37" t="s">
        <v>61</v>
      </c>
      <c r="L20" s="39" t="s">
        <v>136</v>
      </c>
    </row>
    <row r="21" spans="1:12" ht="54" customHeight="1">
      <c r="A21" s="84" t="s">
        <v>141</v>
      </c>
      <c r="B21" s="35" t="s">
        <v>142</v>
      </c>
      <c r="C21" s="58"/>
      <c r="D21" s="46"/>
      <c r="E21" s="47" t="e" cm="1">
        <f t="array" ref="E21">_xlfn.IFS(D21="Oui",6,D21="Non",0,D21="Non applicable","N/A")</f>
        <v>#N/A</v>
      </c>
      <c r="F21" s="35" t="s">
        <v>58</v>
      </c>
      <c r="G21" s="59" t="s">
        <v>67</v>
      </c>
      <c r="H21" s="54" t="s">
        <v>143</v>
      </c>
      <c r="I21" s="57" t="str">
        <f>IF(D21="Non","Aménager les espaces réservés sur un revêtement dur et sans pente.","")</f>
        <v/>
      </c>
      <c r="J21" s="37"/>
      <c r="K21" s="37" t="s">
        <v>61</v>
      </c>
      <c r="L21" s="39" t="s">
        <v>136</v>
      </c>
    </row>
    <row r="22" spans="1:12" ht="54" customHeight="1">
      <c r="A22" s="84" t="s">
        <v>144</v>
      </c>
      <c r="B22" s="35" t="s">
        <v>145</v>
      </c>
      <c r="C22" s="35" t="s">
        <v>146</v>
      </c>
      <c r="D22" s="46"/>
      <c r="E22" s="47" t="e" cm="1">
        <f t="array" ref="E22">_xlfn.IFS(D22="Oui",4,D22="Non",0,D22="Non applicable","N/A")</f>
        <v>#N/A</v>
      </c>
      <c r="F22" s="35" t="s">
        <v>82</v>
      </c>
      <c r="G22" s="53" t="s">
        <v>59</v>
      </c>
      <c r="H22" s="54" t="s">
        <v>147</v>
      </c>
      <c r="I22" s="57" t="str">
        <f>IF(D22="Non","Identifier les espaces réservés par un panneau au pictogramme du handicap universel.","")</f>
        <v/>
      </c>
      <c r="J22" s="37"/>
      <c r="K22" s="37" t="s">
        <v>61</v>
      </c>
      <c r="L22" s="39" t="s">
        <v>136</v>
      </c>
    </row>
    <row r="23" spans="1:12" ht="54" customHeight="1">
      <c r="A23" s="84" t="s">
        <v>148</v>
      </c>
      <c r="B23" s="35" t="s">
        <v>149</v>
      </c>
      <c r="C23" s="55" t="s">
        <v>150</v>
      </c>
      <c r="D23" s="46"/>
      <c r="E23" s="47" t="e" cm="1">
        <f t="array" ref="E23">_xlfn.IFS(D23="Oui",4,D23="Non",0)</f>
        <v>#N/A</v>
      </c>
      <c r="F23" s="35" t="s">
        <v>82</v>
      </c>
      <c r="G23" s="48" t="s">
        <v>67</v>
      </c>
      <c r="H23" s="54" t="s">
        <v>151</v>
      </c>
      <c r="I23" s="57" t="str">
        <f>IF(D23="Non","Prévoir un débarcadère accessible sur le site.","")</f>
        <v/>
      </c>
      <c r="J23" s="37"/>
      <c r="K23" s="37" t="s">
        <v>61</v>
      </c>
      <c r="L23" s="39" t="s">
        <v>62</v>
      </c>
    </row>
    <row r="24" spans="1:12" ht="54" customHeight="1">
      <c r="A24" s="84" t="s">
        <v>152</v>
      </c>
      <c r="B24" s="35" t="s">
        <v>153</v>
      </c>
      <c r="C24" s="35"/>
      <c r="D24" s="46"/>
      <c r="E24" s="47" t="e" cm="1">
        <f t="array" ref="E24">_xlfn.IFS(D24="Oui",4,D24="Non",0,D24="Non applicable","N/A")</f>
        <v>#N/A</v>
      </c>
      <c r="F24" s="35" t="s">
        <v>82</v>
      </c>
      <c r="G24" s="53" t="s">
        <v>59</v>
      </c>
      <c r="H24" s="54" t="s">
        <v>154</v>
      </c>
      <c r="I24" s="57" t="str">
        <f>IF(D24="Non","Installer du mobilier pour s'asseoir à proximité du débarcadère.","")</f>
        <v/>
      </c>
      <c r="J24" s="37"/>
      <c r="K24" s="37" t="s">
        <v>61</v>
      </c>
      <c r="L24" s="39" t="s">
        <v>155</v>
      </c>
    </row>
    <row r="25" spans="1:12" ht="54" customHeight="1">
      <c r="A25" s="84" t="s">
        <v>156</v>
      </c>
      <c r="B25" s="35" t="s">
        <v>157</v>
      </c>
      <c r="C25" s="35"/>
      <c r="D25" s="46"/>
      <c r="E25" s="47" t="e" cm="1">
        <f t="array" ref="E25">_xlfn.IFS(D25="Oui",2,D25="Non",0,D25="Non applicable","N/A")</f>
        <v>#N/A</v>
      </c>
      <c r="F25" s="35" t="s">
        <v>66</v>
      </c>
      <c r="G25" s="48" t="s">
        <v>67</v>
      </c>
      <c r="H25" s="54" t="s">
        <v>158</v>
      </c>
      <c r="I25" s="57" t="str">
        <f>IF(D25="Non","Protéger le débarcadère des intempéries.","")</f>
        <v/>
      </c>
      <c r="J25" s="37"/>
      <c r="K25" s="37" t="s">
        <v>61</v>
      </c>
      <c r="L25" s="39" t="s">
        <v>155</v>
      </c>
    </row>
    <row r="26" spans="1:12" ht="54" customHeight="1">
      <c r="A26" s="84" t="s">
        <v>159</v>
      </c>
      <c r="B26" s="55" t="s">
        <v>160</v>
      </c>
      <c r="C26" s="35"/>
      <c r="D26" s="46"/>
      <c r="E26" s="47" t="e" cm="1">
        <f t="array" ref="E26">_xlfn.IFS(D26="Oui",4,D26="Non",0,D26="Non applicable","N/A")</f>
        <v>#N/A</v>
      </c>
      <c r="F26" s="35" t="s">
        <v>82</v>
      </c>
      <c r="G26" s="48" t="s">
        <v>67</v>
      </c>
      <c r="H26" s="54" t="s">
        <v>161</v>
      </c>
      <c r="I26" s="57" t="str">
        <f>IF(D26="Non","Aménager le débarcadère pour une dépose sécuritaire, sans traversée d'une voie de circulation.","")</f>
        <v/>
      </c>
      <c r="J26" s="37"/>
      <c r="K26" s="37" t="s">
        <v>61</v>
      </c>
      <c r="L26" s="39" t="s">
        <v>155</v>
      </c>
    </row>
    <row r="27" spans="1:12" ht="66.75" customHeight="1">
      <c r="A27" s="83" t="s">
        <v>162</v>
      </c>
      <c r="B27" s="35" t="s">
        <v>163</v>
      </c>
      <c r="C27" s="55" t="s">
        <v>164</v>
      </c>
      <c r="D27" s="46"/>
      <c r="E27" s="47" t="e" cm="1">
        <f t="array" ref="E27">_xlfn.IFS(D27="Oui",4,D27="Non",0,D27="Non applicable","N/A")</f>
        <v>#N/A</v>
      </c>
      <c r="F27" s="35" t="s">
        <v>82</v>
      </c>
      <c r="G27" s="53" t="s">
        <v>59</v>
      </c>
      <c r="H27" s="54" t="s">
        <v>165</v>
      </c>
      <c r="I27" s="57" t="str">
        <f>IF(D27="Non","Offrir des tarifs préférentiels aux personnes en situation de handicap.","")</f>
        <v/>
      </c>
      <c r="J27" s="37" t="s">
        <v>61</v>
      </c>
      <c r="K27" s="37"/>
      <c r="L27" s="39" t="s">
        <v>166</v>
      </c>
    </row>
    <row r="28" spans="1:12" ht="54" customHeight="1">
      <c r="A28" s="83" t="s">
        <v>167</v>
      </c>
      <c r="B28" s="35" t="s">
        <v>168</v>
      </c>
      <c r="C28" s="35" t="s">
        <v>169</v>
      </c>
      <c r="D28" s="46"/>
      <c r="E28" s="47" t="e" cm="1">
        <f t="array" ref="E28">_xlfn.IFS(D28="Oui",4,D28="Non",0,D28="Non applicable","N/A")</f>
        <v>#N/A</v>
      </c>
      <c r="F28" s="35" t="s">
        <v>82</v>
      </c>
      <c r="G28" s="48" t="s">
        <v>91</v>
      </c>
      <c r="H28" s="54" t="s">
        <v>170</v>
      </c>
      <c r="I28" s="57" t="str">
        <f>IF(D28="Non","Offrir au moins 2 moyens complémentaires pour acheter des billets (en ligne/écrit et en personne/par téléphone).","")</f>
        <v/>
      </c>
      <c r="J28" s="37" t="s">
        <v>61</v>
      </c>
      <c r="K28" s="37"/>
      <c r="L28" s="39" t="s">
        <v>171</v>
      </c>
    </row>
    <row r="29" spans="1:12" ht="54" customHeight="1">
      <c r="A29" s="83" t="s">
        <v>172</v>
      </c>
      <c r="B29" s="35" t="s">
        <v>173</v>
      </c>
      <c r="C29" s="35"/>
      <c r="D29" s="46"/>
      <c r="E29" s="47" t="e" cm="1">
        <f t="array" ref="E29">_xlfn.IFS(D29="Oui",6,D29="Non",0)</f>
        <v>#N/A</v>
      </c>
      <c r="F29" s="35" t="s">
        <v>58</v>
      </c>
      <c r="G29" s="48" t="s">
        <v>59</v>
      </c>
      <c r="H29" s="54" t="s">
        <v>174</v>
      </c>
      <c r="I29" s="57" t="str">
        <f>IF(D29="Non","Dimensionner les passages et files d'attente pour la circulation et les manœuvres d'une personne en fauteuil roulant.","")</f>
        <v/>
      </c>
      <c r="J29" s="37"/>
      <c r="K29" s="37" t="s">
        <v>61</v>
      </c>
      <c r="L29" s="39" t="s">
        <v>62</v>
      </c>
    </row>
    <row r="30" spans="1:12" ht="54" customHeight="1">
      <c r="A30" s="83" t="s">
        <v>175</v>
      </c>
      <c r="B30" s="35" t="s">
        <v>176</v>
      </c>
      <c r="C30" s="35"/>
      <c r="D30" s="46"/>
      <c r="E30" s="47" t="e" cm="1">
        <f t="array" ref="E30">_xlfn.IFS(D30="Oui",4,D30="Non",0,D30="Non applicable","N/A")</f>
        <v>#N/A</v>
      </c>
      <c r="F30" s="35" t="s">
        <v>82</v>
      </c>
      <c r="G30" s="48" t="s">
        <v>67</v>
      </c>
      <c r="H30" s="54" t="s">
        <v>177</v>
      </c>
      <c r="I30" s="57" t="str">
        <f>IF(D30="Non","Mettre en place des files d'attente alternatives ou prioritaires.","")</f>
        <v/>
      </c>
      <c r="J30" s="37"/>
      <c r="K30" s="37" t="s">
        <v>61</v>
      </c>
      <c r="L30" s="39" t="s">
        <v>102</v>
      </c>
    </row>
    <row r="31" spans="1:12" ht="54" customHeight="1">
      <c r="A31" s="83" t="s">
        <v>178</v>
      </c>
      <c r="B31" s="55" t="s">
        <v>179</v>
      </c>
      <c r="C31" s="35"/>
      <c r="D31" s="46"/>
      <c r="E31" s="47" t="e" cm="1">
        <f t="array" ref="E31">_xlfn.IFS(D31="Oui",2,D31="Non",0,D31="Non applicable","N/A")</f>
        <v>#N/A</v>
      </c>
      <c r="F31" s="35" t="s">
        <v>66</v>
      </c>
      <c r="G31" s="48" t="s">
        <v>59</v>
      </c>
      <c r="H31" s="54" t="s">
        <v>180</v>
      </c>
      <c r="I31" s="57" t="str">
        <f>IF(D31="Non","Aménager les points de contrôle (billetterie, fouille) à différentes hauteurs.","")</f>
        <v/>
      </c>
      <c r="J31" s="37"/>
      <c r="K31" s="37" t="s">
        <v>61</v>
      </c>
      <c r="L31" s="39" t="s">
        <v>102</v>
      </c>
    </row>
    <row r="32" spans="1:12" ht="54" customHeight="1">
      <c r="A32" s="84" t="s">
        <v>181</v>
      </c>
      <c r="B32" s="35" t="s">
        <v>182</v>
      </c>
      <c r="C32" s="35" t="s">
        <v>183</v>
      </c>
      <c r="D32" s="46"/>
      <c r="E32" s="47" t="e" cm="1">
        <f t="array" ref="E32">_xlfn.IFS(D32="Oui",6,D32="Non",0)</f>
        <v>#N/A</v>
      </c>
      <c r="F32" s="35" t="s">
        <v>58</v>
      </c>
      <c r="G32" s="48" t="s">
        <v>59</v>
      </c>
      <c r="H32" s="54" t="s">
        <v>174</v>
      </c>
      <c r="I32" s="57" t="str">
        <f>IF(D32="Non","Prévoir des couloirs suffisamment larges pour permettre de circuler et de se croiser.","")</f>
        <v/>
      </c>
      <c r="J32" s="37"/>
      <c r="K32" s="37" t="s">
        <v>61</v>
      </c>
      <c r="L32" s="39" t="s">
        <v>62</v>
      </c>
    </row>
    <row r="33" spans="1:19" ht="54" customHeight="1">
      <c r="A33" s="84" t="s">
        <v>184</v>
      </c>
      <c r="B33" s="35" t="s">
        <v>185</v>
      </c>
      <c r="C33" s="58"/>
      <c r="D33" s="46"/>
      <c r="E33" s="47" t="e" cm="1">
        <f t="array" ref="E33">_xlfn.IFS(D33="Oui",0,D33="Non",6)</f>
        <v>#N/A</v>
      </c>
      <c r="F33" s="35" t="s">
        <v>58</v>
      </c>
      <c r="G33" s="48" t="s">
        <v>67</v>
      </c>
      <c r="H33" s="54" t="s">
        <v>186</v>
      </c>
      <c r="I33" s="57" t="str">
        <f>IF(D33="Oui","Éliminer ou signaler les pentes abruptes ou longues sur le parcours.","")</f>
        <v/>
      </c>
      <c r="J33" s="37"/>
      <c r="K33" s="37" t="s">
        <v>61</v>
      </c>
      <c r="L33" s="39" t="s">
        <v>62</v>
      </c>
    </row>
    <row r="34" spans="1:19" ht="54" customHeight="1">
      <c r="A34" s="84" t="s">
        <v>187</v>
      </c>
      <c r="B34" s="35" t="s">
        <v>188</v>
      </c>
      <c r="C34" s="58"/>
      <c r="D34" s="46"/>
      <c r="E34" s="47" t="e" cm="1">
        <f t="array" ref="E34">_xlfn.IFS(D34="Oui",0,D34="Non",6)</f>
        <v>#N/A</v>
      </c>
      <c r="F34" s="35" t="s">
        <v>58</v>
      </c>
      <c r="G34" s="53" t="s">
        <v>67</v>
      </c>
      <c r="H34" s="54" t="s">
        <v>189</v>
      </c>
      <c r="I34" s="57" t="str">
        <f>IF(D34="Oui","Retirer ou signaler les obstacles présents sur le parcours.","")</f>
        <v/>
      </c>
      <c r="J34" s="37"/>
      <c r="K34" s="37" t="s">
        <v>61</v>
      </c>
      <c r="L34" s="39" t="s">
        <v>62</v>
      </c>
    </row>
    <row r="35" spans="1:19" ht="54" customHeight="1">
      <c r="A35" s="84" t="s">
        <v>190</v>
      </c>
      <c r="B35" s="55" t="s">
        <v>191</v>
      </c>
      <c r="C35" s="58"/>
      <c r="D35" s="46"/>
      <c r="E35" s="47" t="e" cm="1">
        <f t="array" ref="E35">_xlfn.IFS(D35="Oui",6,D35="Non",0,D35="Non applicable","N/A")</f>
        <v>#N/A</v>
      </c>
      <c r="F35" s="35" t="s">
        <v>58</v>
      </c>
      <c r="G35" s="53" t="s">
        <v>59</v>
      </c>
      <c r="H35" s="54" t="s">
        <v>192</v>
      </c>
      <c r="I35" s="57" t="str">
        <f>IF(D35="Non","Fixer solidement les revêtements temporaires.","")</f>
        <v/>
      </c>
      <c r="J35" s="37"/>
      <c r="K35" s="37" t="s">
        <v>61</v>
      </c>
      <c r="L35" s="39" t="s">
        <v>193</v>
      </c>
    </row>
    <row r="36" spans="1:19" ht="54" customHeight="1">
      <c r="A36" s="84" t="s">
        <v>194</v>
      </c>
      <c r="B36" s="35" t="s">
        <v>195</v>
      </c>
      <c r="C36" s="58"/>
      <c r="D36" s="46"/>
      <c r="E36" s="47" t="e" cm="1">
        <f t="array" ref="E36">_xlfn.IFS(D36="Oui",0,D36="Non",4)</f>
        <v>#N/A</v>
      </c>
      <c r="F36" s="35" t="s">
        <v>82</v>
      </c>
      <c r="G36" s="48" t="s">
        <v>67</v>
      </c>
      <c r="H36" s="54" t="s">
        <v>196</v>
      </c>
      <c r="I36" s="57" t="str">
        <f>IF(D36="Oui","Répertorier et identifier les zones inaccessibles aux personnes à mobilité réduite et prévoir des solutions alternatives.","")</f>
        <v/>
      </c>
      <c r="J36" s="37"/>
      <c r="K36" s="37" t="s">
        <v>61</v>
      </c>
      <c r="L36" s="39" t="s">
        <v>62</v>
      </c>
      <c r="S36" s="9"/>
    </row>
    <row r="37" spans="1:19" ht="54" customHeight="1">
      <c r="A37" s="84" t="s">
        <v>197</v>
      </c>
      <c r="B37" s="55" t="s">
        <v>198</v>
      </c>
      <c r="C37" s="58"/>
      <c r="D37" s="46"/>
      <c r="E37" s="47" t="e" cm="1">
        <f t="array" ref="E37">_xlfn.IFS(D37="Oui",6,D37="Non",0)</f>
        <v>#N/A</v>
      </c>
      <c r="F37" s="35" t="s">
        <v>58</v>
      </c>
      <c r="G37" s="60" t="s">
        <v>67</v>
      </c>
      <c r="H37" s="61" t="s">
        <v>199</v>
      </c>
      <c r="I37" s="57" t="str">
        <f>IF(D37="Non","Aménager les zones de circulation avec un revêtement dur.","")</f>
        <v/>
      </c>
      <c r="J37" s="37"/>
      <c r="K37" s="37" t="s">
        <v>61</v>
      </c>
      <c r="L37" s="39" t="s">
        <v>62</v>
      </c>
    </row>
    <row r="38" spans="1:19" ht="54" customHeight="1">
      <c r="A38" s="84" t="s">
        <v>200</v>
      </c>
      <c r="B38" s="35" t="s">
        <v>201</v>
      </c>
      <c r="C38" s="35" t="s">
        <v>202</v>
      </c>
      <c r="D38" s="46"/>
      <c r="E38" s="47" t="e" cm="1">
        <f t="array" ref="E38">_xlfn.IFS(D38="Oui",4,D38="Non",0,D38="Non applicable","N/A")</f>
        <v>#N/A</v>
      </c>
      <c r="F38" s="35" t="s">
        <v>82</v>
      </c>
      <c r="G38" s="48" t="s">
        <v>67</v>
      </c>
      <c r="H38" s="61" t="s">
        <v>203</v>
      </c>
      <c r="I38" s="57" t="str">
        <f>IF(D38="Non","Prévoir des corridors de circulation réservés, au besoin.","")</f>
        <v/>
      </c>
      <c r="J38" s="37" t="s">
        <v>61</v>
      </c>
      <c r="K38" s="37"/>
      <c r="L38" s="39" t="s">
        <v>102</v>
      </c>
    </row>
    <row r="39" spans="1:19" ht="54" customHeight="1">
      <c r="A39" s="84" t="s">
        <v>204</v>
      </c>
      <c r="B39" s="35" t="s">
        <v>205</v>
      </c>
      <c r="C39" s="58"/>
      <c r="D39" s="46"/>
      <c r="E39" s="47" t="e" cm="1">
        <f t="array" ref="E39">_xlfn.IFS(D39="Oui",4,D39="Non",0,D39="Non applicable","N/A")</f>
        <v>#N/A</v>
      </c>
      <c r="F39" s="35" t="s">
        <v>82</v>
      </c>
      <c r="G39" s="48" t="s">
        <v>67</v>
      </c>
      <c r="H39" s="54" t="s">
        <v>174</v>
      </c>
      <c r="I39" s="57" t="str">
        <f>IF(D39="Non","Proposer des itinéraires alternatifs pour les zones physiquement exigeantes.","")</f>
        <v/>
      </c>
      <c r="J39" s="37"/>
      <c r="K39" s="37" t="s">
        <v>61</v>
      </c>
      <c r="L39" s="39" t="s">
        <v>206</v>
      </c>
    </row>
    <row r="40" spans="1:19" ht="54" customHeight="1">
      <c r="A40" s="84" t="s">
        <v>207</v>
      </c>
      <c r="B40" s="35" t="s">
        <v>208</v>
      </c>
      <c r="C40" s="35" t="s">
        <v>209</v>
      </c>
      <c r="D40" s="46"/>
      <c r="E40" s="47" t="e" cm="1">
        <f t="array" ref="E40">_xlfn.IFS(D40="Oui",4,D40="Non",0,D40="Non applicable","N/A")</f>
        <v>#N/A</v>
      </c>
      <c r="F40" s="35" t="s">
        <v>82</v>
      </c>
      <c r="G40" s="53" t="s">
        <v>59</v>
      </c>
      <c r="H40" s="54" t="s">
        <v>210</v>
      </c>
      <c r="I40" s="57" t="str">
        <f>IF(D40="Non","Aménager les cache-fils en pente douce.","")</f>
        <v/>
      </c>
      <c r="J40" s="37"/>
      <c r="K40" s="37" t="s">
        <v>61</v>
      </c>
      <c r="L40" s="39" t="s">
        <v>102</v>
      </c>
    </row>
    <row r="41" spans="1:19" ht="54" customHeight="1">
      <c r="A41" s="84" t="s">
        <v>211</v>
      </c>
      <c r="B41" s="35" t="s">
        <v>212</v>
      </c>
      <c r="C41" s="58"/>
      <c r="D41" s="46"/>
      <c r="E41" s="47" t="e" cm="1">
        <f t="array" ref="E41">_xlfn.IFS(D41="Oui",2,D41="Non",0,D41="Non applicable","N/A")</f>
        <v>#N/A</v>
      </c>
      <c r="F41" s="35" t="s">
        <v>66</v>
      </c>
      <c r="G41" s="48" t="s">
        <v>91</v>
      </c>
      <c r="H41" s="54" t="s">
        <v>213</v>
      </c>
      <c r="I41" s="57" t="str">
        <f>IF(D41="Non","Délimiter les rebords des couloirs de chaque côté (éclairage, changement de revêtement).","")</f>
        <v/>
      </c>
      <c r="J41" s="37"/>
      <c r="K41" s="37" t="s">
        <v>61</v>
      </c>
      <c r="L41" s="39" t="s">
        <v>102</v>
      </c>
    </row>
    <row r="42" spans="1:19" ht="54" customHeight="1">
      <c r="A42" s="84" t="s">
        <v>214</v>
      </c>
      <c r="B42" s="35" t="s">
        <v>215</v>
      </c>
      <c r="C42" s="35" t="s">
        <v>216</v>
      </c>
      <c r="D42" s="46"/>
      <c r="E42" s="47" t="e" cm="1">
        <f t="array" ref="E42">_xlfn.IFS(D42="Oui",4,D42="Non",0)</f>
        <v>#N/A</v>
      </c>
      <c r="F42" s="35" t="s">
        <v>82</v>
      </c>
      <c r="G42" s="48" t="s">
        <v>59</v>
      </c>
      <c r="H42" s="54" t="s">
        <v>217</v>
      </c>
      <c r="I42" s="57" t="str">
        <f>IF(D42="Non","Répartir des aires de repos sur l'ensemble du site.","")</f>
        <v/>
      </c>
      <c r="J42" s="37"/>
      <c r="K42" s="37" t="s">
        <v>61</v>
      </c>
      <c r="L42" s="39" t="s">
        <v>62</v>
      </c>
    </row>
    <row r="43" spans="1:19" ht="54" customHeight="1">
      <c r="A43" s="84" t="s">
        <v>218</v>
      </c>
      <c r="B43" s="55" t="s">
        <v>219</v>
      </c>
      <c r="C43" s="35" t="s">
        <v>220</v>
      </c>
      <c r="D43" s="46"/>
      <c r="E43" s="47" t="e" cm="1">
        <f t="array" ref="E43">_xlfn.IFS(D43="Oui",2,D43="Non",0)</f>
        <v>#N/A</v>
      </c>
      <c r="F43" s="35" t="s">
        <v>66</v>
      </c>
      <c r="G43" s="53" t="s">
        <v>59</v>
      </c>
      <c r="H43" s="54" t="s">
        <v>221</v>
      </c>
      <c r="I43" s="57" t="str">
        <f>IF(D43="Non","Proposer des espaces pour s'asseoir à l'écart du bruit et de la foule.","")</f>
        <v/>
      </c>
      <c r="J43" s="37"/>
      <c r="K43" s="37" t="s">
        <v>61</v>
      </c>
      <c r="L43" s="39" t="s">
        <v>62</v>
      </c>
    </row>
    <row r="44" spans="1:19" ht="54" customHeight="1">
      <c r="A44" s="84" t="s">
        <v>222</v>
      </c>
      <c r="B44" s="55" t="s">
        <v>223</v>
      </c>
      <c r="C44" s="35"/>
      <c r="D44" s="46"/>
      <c r="E44" s="47" t="e" cm="1">
        <f t="array" ref="E44">_xlfn.IFS(D44="Oui",2,D44="Non",0,D44="Non applicable","N/A")</f>
        <v>#N/A</v>
      </c>
      <c r="F44" s="35" t="s">
        <v>66</v>
      </c>
      <c r="G44" s="48" t="s">
        <v>59</v>
      </c>
      <c r="H44" s="54" t="s">
        <v>224</v>
      </c>
      <c r="I44" s="57" t="str">
        <f>IF(D44="Non","Diversifier le mobilier (avec/sans dossier, avec/sans accoudoirs, différentes hauteurs).","")</f>
        <v/>
      </c>
      <c r="J44" s="37"/>
      <c r="K44" s="37" t="s">
        <v>61</v>
      </c>
      <c r="L44" s="39" t="s">
        <v>62</v>
      </c>
    </row>
    <row r="45" spans="1:19" ht="54" customHeight="1">
      <c r="A45" s="83" t="s">
        <v>225</v>
      </c>
      <c r="B45" s="55" t="s">
        <v>226</v>
      </c>
      <c r="C45" s="35"/>
      <c r="D45" s="46"/>
      <c r="E45" s="47" t="e" cm="1">
        <f t="array" ref="E45">_xlfn.IFS(D45="Oui",6,D45="Non",0,D45="Non applicable","N/A")</f>
        <v>#N/A</v>
      </c>
      <c r="F45" s="35" t="s">
        <v>58</v>
      </c>
      <c r="G45" s="48" t="s">
        <v>67</v>
      </c>
      <c r="H45" s="54" t="s">
        <v>227</v>
      </c>
      <c r="I45" s="57" t="str">
        <f>IF(D45="Non","Prévoir une zone réservée près de la scène.","")</f>
        <v/>
      </c>
      <c r="J45" s="37"/>
      <c r="K45" s="37" t="s">
        <v>61</v>
      </c>
      <c r="L45" s="39" t="s">
        <v>102</v>
      </c>
    </row>
    <row r="46" spans="1:19" ht="54" customHeight="1">
      <c r="A46" s="83" t="s">
        <v>228</v>
      </c>
      <c r="B46" s="35" t="s">
        <v>229</v>
      </c>
      <c r="C46" s="35"/>
      <c r="D46" s="46"/>
      <c r="E46" s="47" t="e" cm="1">
        <f t="array" ref="E46">_xlfn.IFS(D46="Oui",6,D46="Non",0,D46="Non applicable","N/A")</f>
        <v>#N/A</v>
      </c>
      <c r="F46" s="35" t="s">
        <v>58</v>
      </c>
      <c r="G46" s="48" t="s">
        <v>67</v>
      </c>
      <c r="H46" s="54" t="s">
        <v>230</v>
      </c>
      <c r="I46" s="57" t="str">
        <f>IF(D46="Non","Assurer une vue complète et dégagée depuis la zone réservée.","")</f>
        <v/>
      </c>
      <c r="J46" s="37"/>
      <c r="K46" s="37" t="s">
        <v>61</v>
      </c>
      <c r="L46" s="39" t="s">
        <v>231</v>
      </c>
    </row>
    <row r="47" spans="1:19" ht="54" customHeight="1">
      <c r="A47" s="83" t="s">
        <v>232</v>
      </c>
      <c r="B47" s="35" t="s">
        <v>233</v>
      </c>
      <c r="C47" s="35"/>
      <c r="D47" s="46"/>
      <c r="E47" s="47" t="e" cm="1">
        <f t="array" ref="E47">_xlfn.IFS(D47="Oui",6,D47="Non",0,D47="Non applicable","N/A")</f>
        <v>#N/A</v>
      </c>
      <c r="F47" s="35" t="s">
        <v>58</v>
      </c>
      <c r="G47" s="59" t="s">
        <v>67</v>
      </c>
      <c r="H47" s="54" t="s">
        <v>234</v>
      </c>
      <c r="I47" s="57" t="str">
        <f>IF(D47="Non","Installer une rampe d'accès en pente douce si la zone réservée est surélevée.","")</f>
        <v/>
      </c>
      <c r="J47" s="37"/>
      <c r="K47" s="37" t="s">
        <v>61</v>
      </c>
      <c r="L47" s="39" t="s">
        <v>235</v>
      </c>
    </row>
    <row r="48" spans="1:19" ht="54" customHeight="1">
      <c r="A48" s="83" t="s">
        <v>236</v>
      </c>
      <c r="B48" s="35" t="s">
        <v>237</v>
      </c>
      <c r="C48" s="35"/>
      <c r="D48" s="46"/>
      <c r="E48" s="47" t="e" cm="1">
        <f t="array" ref="E48">_xlfn.IFS(D48="Oui",6,D48="Non",0,D48="Non applicable","N/A")</f>
        <v>#N/A</v>
      </c>
      <c r="F48" s="35" t="s">
        <v>58</v>
      </c>
      <c r="G48" s="48" t="s">
        <v>67</v>
      </c>
      <c r="H48" s="54" t="s">
        <v>230</v>
      </c>
      <c r="I48" s="57" t="str">
        <f>IF(D48="Non","Prévoir des espaces de manœuvre suffisants en bas et en haut de la rampe.","")</f>
        <v/>
      </c>
      <c r="J48" s="37"/>
      <c r="K48" s="37" t="s">
        <v>61</v>
      </c>
      <c r="L48" s="39" t="s">
        <v>231</v>
      </c>
    </row>
    <row r="49" spans="1:12" ht="54" customHeight="1">
      <c r="A49" s="83" t="s">
        <v>238</v>
      </c>
      <c r="B49" s="35" t="s">
        <v>239</v>
      </c>
      <c r="C49" s="35"/>
      <c r="D49" s="46"/>
      <c r="E49" s="47" t="e" cm="1">
        <f t="array" ref="E49">_xlfn.IFS(D49="Oui",6,D49="Non",0,D49="Non applicable","N/A")</f>
        <v>#N/A</v>
      </c>
      <c r="F49" s="35" t="s">
        <v>58</v>
      </c>
      <c r="G49" s="53" t="s">
        <v>59</v>
      </c>
      <c r="H49" s="54" t="s">
        <v>240</v>
      </c>
      <c r="I49" s="57" t="str">
        <f>IF(D49="Non","Munir la rampe de mains courantes de chaque côté.","")</f>
        <v/>
      </c>
      <c r="J49" s="37"/>
      <c r="K49" s="37" t="s">
        <v>61</v>
      </c>
      <c r="L49" s="35" t="s">
        <v>241</v>
      </c>
    </row>
    <row r="50" spans="1:12" ht="54" customHeight="1">
      <c r="A50" s="83" t="s">
        <v>242</v>
      </c>
      <c r="B50" s="35" t="s">
        <v>243</v>
      </c>
      <c r="C50" s="35"/>
      <c r="D50" s="46"/>
      <c r="E50" s="47" t="e" cm="1">
        <f t="array" ref="E50">_xlfn.IFS(D50="Oui",4,D50="Non",0,D50="Non applicable","N/A")</f>
        <v>#N/A</v>
      </c>
      <c r="F50" s="35" t="s">
        <v>82</v>
      </c>
      <c r="G50" s="48" t="s">
        <v>67</v>
      </c>
      <c r="H50" s="54" t="s">
        <v>158</v>
      </c>
      <c r="I50" s="57" t="str">
        <f>IF(D50="Non","Abriter la zone réservée en cas de forte chaleur ou d'intempéries.","")</f>
        <v/>
      </c>
      <c r="J50" s="37"/>
      <c r="K50" s="37" t="s">
        <v>61</v>
      </c>
      <c r="L50" s="39" t="s">
        <v>231</v>
      </c>
    </row>
    <row r="51" spans="1:12" ht="54" customHeight="1">
      <c r="A51" s="83" t="s">
        <v>244</v>
      </c>
      <c r="B51" s="35" t="s">
        <v>245</v>
      </c>
      <c r="C51" s="35" t="s">
        <v>246</v>
      </c>
      <c r="D51" s="46"/>
      <c r="E51" s="47" t="e" cm="1">
        <f t="array" ref="E51">_xlfn.IFS(D51="Oui",4,D51="Non",0,D51="Non applicable","N/A")</f>
        <v>#N/A</v>
      </c>
      <c r="F51" s="35" t="s">
        <v>82</v>
      </c>
      <c r="G51" s="53" t="s">
        <v>59</v>
      </c>
      <c r="H51" s="54" t="s">
        <v>154</v>
      </c>
      <c r="I51" s="57" t="str">
        <f>IF(D51="Non","Proposer du mobilier pour s'asseoir à disposition dans la zone réservée.","")</f>
        <v/>
      </c>
      <c r="J51" s="37"/>
      <c r="K51" s="37" t="s">
        <v>61</v>
      </c>
      <c r="L51" s="39" t="s">
        <v>231</v>
      </c>
    </row>
    <row r="52" spans="1:12" ht="54" customHeight="1">
      <c r="A52" s="83" t="s">
        <v>247</v>
      </c>
      <c r="B52" s="55" t="s">
        <v>248</v>
      </c>
      <c r="C52" s="35" t="s">
        <v>249</v>
      </c>
      <c r="D52" s="46"/>
      <c r="E52" s="47" t="e" cm="1">
        <f t="array" ref="E52">_xlfn.IFS(D52="Oui",2,D52="Non",0,D52="Non applicable","N/A")</f>
        <v>#N/A</v>
      </c>
      <c r="F52" s="35" t="s">
        <v>66</v>
      </c>
      <c r="G52" s="48" t="s">
        <v>59</v>
      </c>
      <c r="H52" s="54" t="s">
        <v>250</v>
      </c>
      <c r="I52" s="57" t="str">
        <f>IF(D52="Non","Offrir des services de confort dans la zone réservée.","")</f>
        <v/>
      </c>
      <c r="J52" s="37" t="s">
        <v>61</v>
      </c>
      <c r="K52" s="37"/>
      <c r="L52" s="39" t="s">
        <v>231</v>
      </c>
    </row>
    <row r="53" spans="1:12" ht="54" customHeight="1">
      <c r="A53" s="84" t="s">
        <v>251</v>
      </c>
      <c r="B53" s="35" t="s">
        <v>252</v>
      </c>
      <c r="C53" s="35" t="s">
        <v>253</v>
      </c>
      <c r="D53" s="46"/>
      <c r="E53" s="47" t="e" cm="1">
        <f t="array" ref="E53">_xlfn.IFS(D53="Oui",6,D53="Non",0)</f>
        <v>#N/A</v>
      </c>
      <c r="F53" s="35" t="s">
        <v>58</v>
      </c>
      <c r="G53" s="48" t="s">
        <v>91</v>
      </c>
      <c r="H53" s="54" t="s">
        <v>254</v>
      </c>
      <c r="I53" s="57" t="str">
        <f>IF(D53="Non","Assurer que la porte peut être fermée par une personne en fauteuil roulant une fois à l'intérieur.","")</f>
        <v/>
      </c>
      <c r="J53" s="37"/>
      <c r="K53" s="37" t="s">
        <v>61</v>
      </c>
      <c r="L53" s="35" t="s">
        <v>62</v>
      </c>
    </row>
    <row r="54" spans="1:12" ht="54" customHeight="1">
      <c r="A54" s="84" t="s">
        <v>255</v>
      </c>
      <c r="B54" s="35" t="s">
        <v>256</v>
      </c>
      <c r="C54" s="58"/>
      <c r="D54" s="46"/>
      <c r="E54" s="47" t="e" cm="1">
        <f t="array" ref="E54">_xlfn.IFS(D54="Oui",6,D54="Non",0)</f>
        <v>#N/A</v>
      </c>
      <c r="F54" s="35" t="s">
        <v>58</v>
      </c>
      <c r="G54" s="59" t="s">
        <v>91</v>
      </c>
      <c r="H54" s="54" t="s">
        <v>254</v>
      </c>
      <c r="I54" s="57" t="str">
        <f>IF(D54="Non","Prévoir l'espace nécessaire à un transfert latéral parallèle à la cuvette.","")</f>
        <v/>
      </c>
      <c r="J54" s="37"/>
      <c r="K54" s="37" t="s">
        <v>61</v>
      </c>
      <c r="L54" s="35" t="s">
        <v>62</v>
      </c>
    </row>
    <row r="55" spans="1:12" ht="54" customHeight="1">
      <c r="A55" s="84" t="s">
        <v>257</v>
      </c>
      <c r="B55" s="35" t="s">
        <v>258</v>
      </c>
      <c r="C55" s="35"/>
      <c r="D55" s="46"/>
      <c r="E55" s="47" t="e" cm="1">
        <f t="array" ref="E55">_xlfn.IFS(D55="Oui",6,D55="Non",0)</f>
        <v>#N/A</v>
      </c>
      <c r="F55" s="35" t="s">
        <v>58</v>
      </c>
      <c r="G55" s="53" t="s">
        <v>91</v>
      </c>
      <c r="H55" s="54" t="s">
        <v>254</v>
      </c>
      <c r="I55" s="57" t="str">
        <f>IF(D55="Non","Installer des barres d'appui à proximité de la cuvette.","")</f>
        <v/>
      </c>
      <c r="J55" s="37"/>
      <c r="K55" s="37" t="s">
        <v>61</v>
      </c>
      <c r="L55" s="35" t="s">
        <v>62</v>
      </c>
    </row>
    <row r="56" spans="1:12" ht="54" customHeight="1">
      <c r="A56" s="83" t="s">
        <v>259</v>
      </c>
      <c r="B56" s="35" t="s">
        <v>260</v>
      </c>
      <c r="C56" s="35"/>
      <c r="D56" s="46"/>
      <c r="E56" s="47" t="e" cm="1">
        <f t="array" ref="E56">_xlfn.IFS(D56="Oui",6,D56="Non",0,D56="Non applicable","N/A")</f>
        <v>#N/A</v>
      </c>
      <c r="F56" s="35" t="s">
        <v>58</v>
      </c>
      <c r="G56" s="48" t="s">
        <v>59</v>
      </c>
      <c r="H56" s="54" t="s">
        <v>261</v>
      </c>
      <c r="I56" s="57" t="str">
        <f>IF(D56="Non","Prévoir une aire de manœuvre suffisante devant chaque comptoir pour permettre à une personne en fauteuil roulant de se retourner.","")</f>
        <v/>
      </c>
      <c r="J56" s="37"/>
      <c r="K56" s="37" t="s">
        <v>61</v>
      </c>
      <c r="L56" s="35" t="s">
        <v>262</v>
      </c>
    </row>
    <row r="57" spans="1:12" ht="54" customHeight="1">
      <c r="A57" s="83" t="s">
        <v>263</v>
      </c>
      <c r="B57" s="55" t="s">
        <v>264</v>
      </c>
      <c r="C57" s="35"/>
      <c r="D57" s="46"/>
      <c r="E57" s="47" t="e" cm="1">
        <f t="array" ref="E57">_xlfn.IFS(D57="Oui",4,D57="Non",0,D57="Non applicable","N/A")</f>
        <v>#N/A</v>
      </c>
      <c r="F57" s="35" t="s">
        <v>82</v>
      </c>
      <c r="G57" s="48" t="s">
        <v>67</v>
      </c>
      <c r="H57" s="62" t="s">
        <v>265</v>
      </c>
      <c r="I57" s="57" t="str">
        <f>IF(D57="Non","Situer les kiosques à proximité des zones réservées et du parcours central.","")</f>
        <v/>
      </c>
      <c r="J57" s="37"/>
      <c r="K57" s="37" t="s">
        <v>61</v>
      </c>
      <c r="L57" s="35" t="s">
        <v>262</v>
      </c>
    </row>
    <row r="58" spans="1:12" ht="54" customHeight="1">
      <c r="A58" s="83" t="s">
        <v>266</v>
      </c>
      <c r="B58" s="35" t="s">
        <v>267</v>
      </c>
      <c r="C58" s="35"/>
      <c r="D58" s="46"/>
      <c r="E58" s="47" t="e" cm="1">
        <f t="array" ref="E58">_xlfn.IFS(D58="Oui",4,D58="Non",0,D58="Non applicable","N/A")</f>
        <v>#N/A</v>
      </c>
      <c r="F58" s="35" t="s">
        <v>82</v>
      </c>
      <c r="G58" s="53" t="s">
        <v>59</v>
      </c>
      <c r="H58" s="54" t="s">
        <v>268</v>
      </c>
      <c r="I58" s="57" t="str">
        <f>IF(D58="Non","Utiliser des terminaux de paiement amovibles.","")</f>
        <v/>
      </c>
      <c r="J58" s="37"/>
      <c r="K58" s="37" t="s">
        <v>61</v>
      </c>
      <c r="L58" s="35" t="s">
        <v>62</v>
      </c>
    </row>
    <row r="59" spans="1:12" ht="54" customHeight="1">
      <c r="A59" s="83" t="s">
        <v>269</v>
      </c>
      <c r="B59" s="35" t="s">
        <v>270</v>
      </c>
      <c r="C59" s="35" t="s">
        <v>271</v>
      </c>
      <c r="D59" s="46"/>
      <c r="E59" s="47" t="e" cm="1">
        <f t="array" ref="E59">_xlfn.IFS(D59="Oui",4,D59="Non",0,D59="Non applicable","N/A")</f>
        <v>#N/A</v>
      </c>
      <c r="F59" s="35" t="s">
        <v>82</v>
      </c>
      <c r="G59" s="48" t="s">
        <v>67</v>
      </c>
      <c r="H59" s="54" t="s">
        <v>272</v>
      </c>
      <c r="I59" s="57" t="str">
        <f>IF(D59="Non","Aménager une section de comptoir abaissée, à hauteur d'une personne en fauteuil roulant ou d'un enfant.","")</f>
        <v/>
      </c>
      <c r="J59" s="37"/>
      <c r="K59" s="37" t="s">
        <v>61</v>
      </c>
      <c r="L59" s="35" t="s">
        <v>62</v>
      </c>
    </row>
    <row r="60" spans="1:12" ht="54" customHeight="1">
      <c r="A60" s="83" t="s">
        <v>273</v>
      </c>
      <c r="B60" s="35" t="s">
        <v>274</v>
      </c>
      <c r="C60" s="35"/>
      <c r="D60" s="46"/>
      <c r="E60" s="47" t="e" cm="1">
        <f t="array" ref="E60">_xlfn.IFS(D60="Oui",4,D60="Non",0,D60="Non applicable","N/A")</f>
        <v>#N/A</v>
      </c>
      <c r="F60" s="35" t="s">
        <v>82</v>
      </c>
      <c r="G60" s="48" t="s">
        <v>67</v>
      </c>
      <c r="H60" s="54" t="s">
        <v>275</v>
      </c>
      <c r="I60" s="57" t="str">
        <f>IF(D60="Non","Installer une rampe d'accès/ un biseau aux kiosques comportant une marche ou un seuil.","")</f>
        <v/>
      </c>
      <c r="J60" s="37"/>
      <c r="K60" s="37" t="s">
        <v>61</v>
      </c>
      <c r="L60" s="35" t="s">
        <v>262</v>
      </c>
    </row>
    <row r="61" spans="1:12" ht="54" customHeight="1">
      <c r="A61" s="83" t="s">
        <v>276</v>
      </c>
      <c r="B61" s="35" t="s">
        <v>277</v>
      </c>
      <c r="C61" s="35"/>
      <c r="D61" s="46"/>
      <c r="E61" s="47" t="e" cm="1">
        <f t="array" ref="E61">_xlfn.IFS(D61="Oui",0,D61="Non",2,D61="Non applicable","N/A")</f>
        <v>#N/A</v>
      </c>
      <c r="F61" s="35" t="s">
        <v>66</v>
      </c>
      <c r="G61" s="48" t="s">
        <v>67</v>
      </c>
      <c r="H61" s="54" t="s">
        <v>278</v>
      </c>
      <c r="I61" s="57" t="str">
        <f>IF(D61="Oui","Éviter que les files d'attente n'empiètent sur les couloirs de circulation.","")</f>
        <v/>
      </c>
      <c r="J61" s="37"/>
      <c r="K61" s="37" t="s">
        <v>61</v>
      </c>
      <c r="L61" s="35" t="s">
        <v>262</v>
      </c>
    </row>
    <row r="62" spans="1:12" ht="54" customHeight="1">
      <c r="A62" s="84" t="s">
        <v>279</v>
      </c>
      <c r="B62" s="35" t="s">
        <v>280</v>
      </c>
      <c r="C62" s="55" t="s">
        <v>281</v>
      </c>
      <c r="D62" s="46"/>
      <c r="E62" s="47" t="e" cm="1">
        <f t="array" ref="E62">_xlfn.IFS(D62="Oui",6,D62="Non",0)</f>
        <v>#N/A</v>
      </c>
      <c r="F62" s="35" t="s">
        <v>58</v>
      </c>
      <c r="G62" s="59" t="s">
        <v>91</v>
      </c>
      <c r="H62" s="54" t="s">
        <v>282</v>
      </c>
      <c r="I62" s="57" t="str">
        <f>IF(D62="Non","Assurer un éclairage uniforme du site, sans zones d'ombre importantes ni luminosité excessive.","")</f>
        <v/>
      </c>
      <c r="J62" s="37"/>
      <c r="K62" s="37" t="s">
        <v>61</v>
      </c>
      <c r="L62" s="35" t="s">
        <v>62</v>
      </c>
    </row>
    <row r="63" spans="1:12" ht="54" customHeight="1">
      <c r="A63" s="84" t="s">
        <v>283</v>
      </c>
      <c r="B63" s="55" t="s">
        <v>284</v>
      </c>
      <c r="C63" s="35"/>
      <c r="D63" s="46"/>
      <c r="E63" s="47" t="e" cm="1">
        <f t="array" ref="E63">_xlfn.IFS(D63="Oui",6,D63="Non",0)</f>
        <v>#N/A</v>
      </c>
      <c r="F63" s="35" t="s">
        <v>58</v>
      </c>
      <c r="G63" s="48" t="s">
        <v>67</v>
      </c>
      <c r="H63" s="54" t="s">
        <v>285</v>
      </c>
      <c r="I63" s="57" t="str">
        <f>IF(D63="Non","Positionner l'éclairage pour permettre de repérer les obstacles au sol (seuils, câbles, changements de niveau).","")</f>
        <v/>
      </c>
      <c r="J63" s="37"/>
      <c r="K63" s="37" t="s">
        <v>61</v>
      </c>
      <c r="L63" s="35" t="s">
        <v>62</v>
      </c>
    </row>
    <row r="64" spans="1:12" ht="54" customHeight="1">
      <c r="A64" s="84" t="s">
        <v>286</v>
      </c>
      <c r="B64" s="35" t="s">
        <v>287</v>
      </c>
      <c r="C64" s="35" t="s">
        <v>288</v>
      </c>
      <c r="D64" s="46"/>
      <c r="E64" s="47" t="e" cm="1">
        <f t="array" ref="E64">_xlfn.IFS(D64="Oui",4,D64="Non",0)</f>
        <v>#N/A</v>
      </c>
      <c r="F64" s="35" t="s">
        <v>82</v>
      </c>
      <c r="G64" s="48" t="s">
        <v>91</v>
      </c>
      <c r="H64" s="61" t="s">
        <v>289</v>
      </c>
      <c r="I64" s="57" t="str">
        <f>IF(D64="Non","Positionner les sources lumineuses pour éviter les reflets et l'éblouissement.","")</f>
        <v/>
      </c>
      <c r="J64" s="37"/>
      <c r="K64" s="37" t="s">
        <v>61</v>
      </c>
      <c r="L64" s="35" t="s">
        <v>62</v>
      </c>
    </row>
    <row r="65" spans="1:19" ht="54" customHeight="1">
      <c r="A65" s="83" t="s">
        <v>290</v>
      </c>
      <c r="B65" s="35" t="s">
        <v>291</v>
      </c>
      <c r="C65" s="55" t="s">
        <v>292</v>
      </c>
      <c r="D65" s="46"/>
      <c r="E65" s="47" t="e" cm="1">
        <f t="array" ref="E65">_xlfn.IFS(D65="Oui",6,D65="Non",0,D65="Non applicable","N/A")</f>
        <v>#N/A</v>
      </c>
      <c r="F65" s="35" t="s">
        <v>58</v>
      </c>
      <c r="G65" s="53" t="s">
        <v>59</v>
      </c>
      <c r="H65" s="61" t="s">
        <v>293</v>
      </c>
      <c r="I65" s="57" t="str">
        <f>IF(D65="Non","Assurer la lisibilité des panneaux peu importe la luminosité (jour, soirée).","")</f>
        <v/>
      </c>
      <c r="J65" s="37"/>
      <c r="K65" s="37" t="s">
        <v>61</v>
      </c>
      <c r="L65" s="35" t="s">
        <v>62</v>
      </c>
    </row>
    <row r="66" spans="1:19" ht="54" customHeight="1">
      <c r="A66" s="83" t="s">
        <v>294</v>
      </c>
      <c r="B66" s="55" t="s">
        <v>295</v>
      </c>
      <c r="C66" s="35" t="s">
        <v>296</v>
      </c>
      <c r="D66" s="46"/>
      <c r="E66" s="47" t="e" cm="1">
        <f t="array" ref="E66">_xlfn.IFS(D66="Oui",6,D66="Non",0,D66="Non applicable","N/A")</f>
        <v>#N/A</v>
      </c>
      <c r="F66" s="35" t="s">
        <v>58</v>
      </c>
      <c r="G66" s="48" t="s">
        <v>67</v>
      </c>
      <c r="H66" s="54" t="s">
        <v>297</v>
      </c>
      <c r="I66" s="57" t="str">
        <f>IF(D66="Non","Rendre la signalisation facilement repérable de loin, même avec la foule.","")</f>
        <v/>
      </c>
      <c r="J66" s="37" t="s">
        <v>61</v>
      </c>
      <c r="K66" s="37"/>
      <c r="L66" s="35" t="s">
        <v>62</v>
      </c>
    </row>
    <row r="67" spans="1:19" ht="54" customHeight="1">
      <c r="A67" s="83" t="s">
        <v>298</v>
      </c>
      <c r="B67" s="35" t="s">
        <v>299</v>
      </c>
      <c r="C67" s="55" t="s">
        <v>300</v>
      </c>
      <c r="D67" s="63"/>
      <c r="E67" s="47" t="e" cm="1">
        <f t="array" ref="E67">_xlfn.IFS(D67="Oui",4,D67="Non",0, D67="Non applicable","N/A")</f>
        <v>#N/A</v>
      </c>
      <c r="F67" s="35" t="s">
        <v>82</v>
      </c>
      <c r="G67" s="48" t="s">
        <v>67</v>
      </c>
      <c r="H67" s="54" t="s">
        <v>301</v>
      </c>
      <c r="I67" s="57" t="str">
        <f>IF(D67="Non","Assurer la qualité et le volume des annonces vocales.","")</f>
        <v/>
      </c>
      <c r="J67" s="37" t="s">
        <v>61</v>
      </c>
      <c r="K67" s="37"/>
      <c r="L67" s="55" t="s">
        <v>302</v>
      </c>
    </row>
    <row r="68" spans="1:19" ht="54" customHeight="1">
      <c r="A68" s="83" t="s">
        <v>303</v>
      </c>
      <c r="B68" s="35" t="s">
        <v>304</v>
      </c>
      <c r="C68" s="35"/>
      <c r="D68" s="46"/>
      <c r="E68" s="47" t="e" cm="1">
        <f t="array" ref="E68">_xlfn.IFS(D68="Oui",6,D68="Non",0,D68="Non applicable","N/A")</f>
        <v>#N/A</v>
      </c>
      <c r="F68" s="35" t="s">
        <v>58</v>
      </c>
      <c r="G68" s="48" t="s">
        <v>59</v>
      </c>
      <c r="H68" s="54" t="s">
        <v>305</v>
      </c>
      <c r="I68" s="57" t="str">
        <f>IF(D68="Non","Afficher un plan du site à l'entrée et à différents points du site.","")</f>
        <v/>
      </c>
      <c r="J68" s="37"/>
      <c r="K68" s="37" t="s">
        <v>61</v>
      </c>
      <c r="L68" s="55" t="s">
        <v>306</v>
      </c>
    </row>
    <row r="69" spans="1:19" ht="54" customHeight="1">
      <c r="A69" s="83" t="s">
        <v>307</v>
      </c>
      <c r="B69" s="35" t="s">
        <v>308</v>
      </c>
      <c r="C69" s="35"/>
      <c r="D69" s="46"/>
      <c r="E69" s="47" t="e" cm="1">
        <f t="array" ref="E69">_xlfn.IFS(D69="Oui",4,D69="Non",0,D69="Non applicable","N/A")</f>
        <v>#N/A</v>
      </c>
      <c r="F69" s="35" t="s">
        <v>82</v>
      </c>
      <c r="G69" s="53" t="s">
        <v>59</v>
      </c>
      <c r="H69" s="54" t="s">
        <v>309</v>
      </c>
      <c r="I69" s="57" t="str">
        <f>IF(D69="Non","Rendre le plan d'orientation disponible en version numérique (site web, code QR).","")</f>
        <v/>
      </c>
      <c r="J69" s="37"/>
      <c r="K69" s="37" t="s">
        <v>61</v>
      </c>
      <c r="L69" s="55" t="s">
        <v>306</v>
      </c>
    </row>
    <row r="70" spans="1:19" ht="54" customHeight="1">
      <c r="A70" s="83" t="s">
        <v>310</v>
      </c>
      <c r="B70" s="35" t="s">
        <v>311</v>
      </c>
      <c r="C70" s="35"/>
      <c r="D70" s="46"/>
      <c r="E70" s="47" t="e" cm="1">
        <f t="array" ref="E70">_xlfn.IFS(D70="Oui",6,D70="Non",0,D70="Non applicable","N/A")</f>
        <v>#N/A</v>
      </c>
      <c r="F70" s="35" t="s">
        <v>58</v>
      </c>
      <c r="G70" s="48" t="s">
        <v>59</v>
      </c>
      <c r="H70" s="54" t="s">
        <v>312</v>
      </c>
      <c r="I70" s="57" t="str">
        <f>IF(D70="Non","Installer la signalisation aux points de décision (intersections, bifurcations, entrées de zones).","")</f>
        <v/>
      </c>
      <c r="J70" s="37"/>
      <c r="K70" s="37" t="s">
        <v>61</v>
      </c>
      <c r="L70" s="35" t="s">
        <v>62</v>
      </c>
    </row>
    <row r="71" spans="1:19" ht="54" customHeight="1">
      <c r="A71" s="83" t="s">
        <v>313</v>
      </c>
      <c r="B71" s="35" t="s">
        <v>314</v>
      </c>
      <c r="C71" s="35"/>
      <c r="D71" s="46"/>
      <c r="E71" s="47" t="e" cm="1">
        <f t="array" ref="E71">_xlfn.IFS(D71="Oui",4,D71="Non",0)</f>
        <v>#N/A</v>
      </c>
      <c r="F71" s="35" t="s">
        <v>82</v>
      </c>
      <c r="G71" s="48" t="s">
        <v>67</v>
      </c>
      <c r="H71" s="54" t="s">
        <v>315</v>
      </c>
      <c r="I71" s="57" t="str">
        <f>IF(D71="Non","Diffuser l'information sous plusieurs formes (texte, pictogrammes, audio) pendant l'événement.","")</f>
        <v/>
      </c>
      <c r="J71" s="37"/>
      <c r="K71" s="37" t="s">
        <v>61</v>
      </c>
      <c r="L71" s="35" t="s">
        <v>62</v>
      </c>
    </row>
    <row r="72" spans="1:19" ht="54" customHeight="1">
      <c r="A72" s="83" t="s">
        <v>316</v>
      </c>
      <c r="B72" s="35" t="s">
        <v>317</v>
      </c>
      <c r="C72" s="55" t="s">
        <v>318</v>
      </c>
      <c r="D72" s="63"/>
      <c r="E72" s="47" t="e" cm="1">
        <f t="array" ref="E72">_xlfn.IFS(D72="Oui",4,D72="Non",0, D72="Non applicable","N/A")</f>
        <v>#N/A</v>
      </c>
      <c r="F72" s="35" t="s">
        <v>82</v>
      </c>
      <c r="G72" s="48" t="s">
        <v>67</v>
      </c>
      <c r="H72" s="61" t="s">
        <v>319</v>
      </c>
      <c r="I72" s="57" t="str">
        <f>IF(D72="Non","Diffuser les annonces au public à la fois vocalement et visuellement.","")</f>
        <v/>
      </c>
      <c r="J72" s="37" t="s">
        <v>61</v>
      </c>
      <c r="K72" s="38"/>
      <c r="L72" s="55" t="s">
        <v>320</v>
      </c>
      <c r="M72" s="10"/>
      <c r="N72" s="10"/>
      <c r="O72" s="10"/>
      <c r="P72" s="10"/>
      <c r="Q72" s="10"/>
      <c r="R72" s="10"/>
      <c r="S72" s="10"/>
    </row>
    <row r="73" spans="1:19" s="10" customFormat="1" ht="54" customHeight="1">
      <c r="A73" s="83" t="s">
        <v>321</v>
      </c>
      <c r="B73" s="35" t="s">
        <v>322</v>
      </c>
      <c r="C73" s="35"/>
      <c r="D73" s="46"/>
      <c r="E73" s="47" t="e" cm="1">
        <f t="array" ref="E73">_xlfn.IFS(D73="Oui",2,D73="Non",0,D73="Non applicable","N/A")</f>
        <v>#N/A</v>
      </c>
      <c r="F73" s="35" t="s">
        <v>66</v>
      </c>
      <c r="G73" s="53" t="s">
        <v>59</v>
      </c>
      <c r="H73" s="54" t="s">
        <v>323</v>
      </c>
      <c r="I73" s="57" t="str">
        <f>IF(D73="Non","Utiliser un revêtement mat et sans reflet pour les panneaux de signalisation.","")</f>
        <v/>
      </c>
      <c r="J73" s="37"/>
      <c r="K73" s="37" t="s">
        <v>61</v>
      </c>
      <c r="L73" s="35" t="s">
        <v>324</v>
      </c>
      <c r="M73" s="8"/>
      <c r="N73" s="8"/>
      <c r="O73" s="8"/>
      <c r="P73" s="8"/>
      <c r="Q73" s="8"/>
      <c r="R73" s="8"/>
      <c r="S73" s="8"/>
    </row>
    <row r="74" spans="1:19" ht="54" customHeight="1">
      <c r="A74" s="84" t="s">
        <v>325</v>
      </c>
      <c r="B74" s="55" t="s">
        <v>326</v>
      </c>
      <c r="C74" s="55" t="s">
        <v>327</v>
      </c>
      <c r="D74" s="46"/>
      <c r="E74" s="47" t="e" cm="1">
        <f t="array" ref="E74">_xlfn.IFS(D74="Oui",6,D74="Non",0)</f>
        <v>#N/A</v>
      </c>
      <c r="F74" s="35" t="s">
        <v>58</v>
      </c>
      <c r="G74" s="53" t="s">
        <v>59</v>
      </c>
      <c r="H74" s="54" t="s">
        <v>328</v>
      </c>
      <c r="I74" s="57" t="str">
        <f>IF(D74="Non","Réaliser un bilan d'équipe pour améliorer l'accessibilité des éditions futures.","")</f>
        <v/>
      </c>
      <c r="J74" s="37" t="s">
        <v>61</v>
      </c>
      <c r="K74" s="37"/>
      <c r="L74" s="55" t="s">
        <v>62</v>
      </c>
    </row>
    <row r="75" spans="1:19" ht="54" customHeight="1">
      <c r="A75" s="84" t="s">
        <v>329</v>
      </c>
      <c r="B75" s="55" t="s">
        <v>330</v>
      </c>
      <c r="C75" s="55" t="s">
        <v>331</v>
      </c>
      <c r="D75" s="46"/>
      <c r="E75" s="47" t="e" cm="1">
        <f t="array" ref="E75">_xlfn.IFS(D75="Oui",4,D75="Non",0)</f>
        <v>#N/A</v>
      </c>
      <c r="F75" s="35" t="s">
        <v>82</v>
      </c>
      <c r="G75" s="53" t="s">
        <v>59</v>
      </c>
      <c r="H75" s="54" t="s">
        <v>332</v>
      </c>
      <c r="I75" s="57" t="str">
        <f>IF(D75="Non","Intégrer des questions sur l'accessibilité dans le questionnaire de satisfaction.","")</f>
        <v/>
      </c>
      <c r="J75" s="37" t="s">
        <v>61</v>
      </c>
      <c r="K75" s="37"/>
      <c r="L75" s="55" t="s">
        <v>62</v>
      </c>
    </row>
    <row r="76" spans="1:19" ht="54" customHeight="1">
      <c r="A76" s="84" t="s">
        <v>333</v>
      </c>
      <c r="B76" s="55" t="s">
        <v>334</v>
      </c>
      <c r="C76" s="58"/>
      <c r="D76" s="46"/>
      <c r="E76" s="47" t="e" cm="1">
        <f t="array" ref="E76">_xlfn.IFS(D76="Oui",4,D76="Non",0)</f>
        <v>#N/A</v>
      </c>
      <c r="F76" s="35" t="s">
        <v>82</v>
      </c>
      <c r="G76" s="53" t="s">
        <v>67</v>
      </c>
      <c r="H76" s="54" t="s">
        <v>335</v>
      </c>
      <c r="I76" s="57" t="str">
        <f>IF(D76="Non","Tenir un journal des incidents pendant l'événement.","")</f>
        <v/>
      </c>
      <c r="J76" s="37" t="s">
        <v>61</v>
      </c>
      <c r="K76" s="37"/>
      <c r="L76" s="55" t="s">
        <v>62</v>
      </c>
    </row>
    <row r="77" spans="1:19" ht="54" customHeight="1">
      <c r="A77" s="84" t="s">
        <v>336</v>
      </c>
      <c r="B77" s="55" t="s">
        <v>337</v>
      </c>
      <c r="C77" s="35"/>
      <c r="D77" s="46"/>
      <c r="E77" s="47" t="e" cm="1">
        <f t="array" ref="E77">_xlfn.IFS(D77="Oui",4,D77="Non",0)</f>
        <v>#N/A</v>
      </c>
      <c r="F77" s="35" t="s">
        <v>82</v>
      </c>
      <c r="G77" s="53" t="s">
        <v>67</v>
      </c>
      <c r="H77" s="54" t="s">
        <v>338</v>
      </c>
      <c r="I77" s="57" t="str">
        <f>IF(D77="Non","Établir des objectifs d'accessibilité dans les plans d'action des éditions suivantes.","")</f>
        <v/>
      </c>
      <c r="J77" s="37" t="s">
        <v>61</v>
      </c>
      <c r="K77" s="37"/>
      <c r="L77" s="35" t="s">
        <v>62</v>
      </c>
    </row>
    <row r="78" spans="1:19" ht="54" customHeight="1">
      <c r="A78" s="84" t="s">
        <v>339</v>
      </c>
      <c r="B78" s="55" t="s">
        <v>340</v>
      </c>
      <c r="C78" s="55" t="s">
        <v>341</v>
      </c>
      <c r="D78" s="46"/>
      <c r="E78" s="47" t="e" cm="1">
        <f t="array" ref="E78">_xlfn.IFS(D78="Oui",2,D78="Non",0,D78="Non applicable","N/A")</f>
        <v>#N/A</v>
      </c>
      <c r="F78" s="35" t="s">
        <v>66</v>
      </c>
      <c r="G78" s="53" t="s">
        <v>91</v>
      </c>
      <c r="H78" s="54" t="s">
        <v>342</v>
      </c>
      <c r="I78" s="57" t="str">
        <f>IF(D78="Non","Mesurer la fréquentation ou l'utilisation des services et équipements adaptés.","")</f>
        <v/>
      </c>
      <c r="J78" s="37" t="s">
        <v>61</v>
      </c>
      <c r="K78" s="37"/>
      <c r="L78" s="55" t="s">
        <v>343</v>
      </c>
    </row>
  </sheetData>
  <sheetProtection algorithmName="SHA-512" hashValue="JtwhyHPfF+zHttWYKqOh2qPaBG8y07MMbPxVhgwG7E2UR5nIZAQ1wNvBlFCw2MB6++1pQowVHJyBcm6l6UL9ww==" saltValue="vvn6858C9nNxfnLIdcAoSw==" spinCount="100000" sheet="1" objects="1" scenarios="1" formatColumns="0" formatRows="0" sort="0" autoFilter="0"/>
  <sortState xmlns:xlrd2="http://schemas.microsoft.com/office/spreadsheetml/2017/richdata2" ref="A2:S93">
    <sortCondition ref="A2:A93"/>
  </sortState>
  <conditionalFormatting sqref="F2:F78">
    <cfRule type="containsText" dxfId="11" priority="322" operator="containsText" text="3">
      <formula>NOT(ISERROR(SEARCH("3",F2)))</formula>
    </cfRule>
    <cfRule type="containsText" dxfId="10" priority="323" operator="containsText" text="2">
      <formula>NOT(ISERROR(SEARCH("2",F2)))</formula>
    </cfRule>
    <cfRule type="containsText" dxfId="9" priority="324" operator="containsText" text="1">
      <formula>NOT(ISERROR(SEARCH("1",F2)))</formula>
    </cfRule>
  </conditionalFormatting>
  <conditionalFormatting sqref="G2:G78 L2:L78">
    <cfRule type="containsText" dxfId="8" priority="1" operator="containsText" text="Fort">
      <formula>NOT(ISERROR(SEARCH("Fort",G2)))</formula>
    </cfRule>
    <cfRule type="containsText" dxfId="7" priority="2" operator="containsText" text="Moyen">
      <formula>NOT(ISERROR(SEARCH("Moyen",G2)))</formula>
    </cfRule>
    <cfRule type="containsText" dxfId="6" priority="3" operator="containsText" text="Faible">
      <formula>NOT(ISERROR(SEARCH("Faible",G2)))</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6">
        <x14:dataValidation type="list" allowBlank="1" showInputMessage="1" showErrorMessage="1" xr:uid="{C3A5EFEB-CB67-45C0-9BC2-84FF5FE0B2D2}">
          <x14:formula1>
            <xm:f>IF(D16="Non",Conformités!$A$4,Conformités!$A$2:$A$3)</xm:f>
          </x14:formula1>
          <xm:sqref>D24 D19 D17</xm:sqref>
        </x14:dataValidation>
        <x14:dataValidation type="list" allowBlank="1" showInputMessage="1" showErrorMessage="1" xr:uid="{538CD471-5E60-4A7F-B44E-8BEF40AA87D9}">
          <x14:formula1>
            <xm:f>Conformités!$A$2:$A$3</xm:f>
          </x14:formula1>
          <xm:sqref>D23 D53:D55 D74:D77 D62:D66 D3:D6 D8 D13 D29 D32:D34 D36:D37 D42:D44 D58:D59 D70:D71 D16 D18</xm:sqref>
        </x14:dataValidation>
        <x14:dataValidation type="list" allowBlank="1" showInputMessage="1" showErrorMessage="1" xr:uid="{B328E1D8-5D2A-419D-B351-E1FAAEF74FC9}">
          <x14:formula1>
            <xm:f>Conformités!$A$2:$A$4</xm:f>
          </x14:formula1>
          <xm:sqref>D14:D15 D35 D40:D42 D72:D73 D67:D69 D7 D9:D12 D27 D30:D31 D38 D60:D61 D56:D57 D78 D45</xm:sqref>
        </x14:dataValidation>
        <x14:dataValidation type="list" allowBlank="1" showInputMessage="1" showErrorMessage="1" xr:uid="{D9E32553-E910-4E77-AFE9-5956EF7ACE35}">
          <x14:formula1>
            <xm:f>IF(D18="Non",Conformités!$A$4,Conformités!$A$2:$A$3)</xm:f>
          </x14:formula1>
          <xm:sqref>D20 D25</xm:sqref>
        </x14:dataValidation>
        <x14:dataValidation type="list" allowBlank="1" showInputMessage="1" showErrorMessage="1" xr:uid="{9D079C70-702D-4DC3-B2C2-D07F66E128DF}">
          <x14:formula1>
            <xm:f>IF(D45="Oui",Conformités!$A$2:$A$4,Conformités!$A$4)</xm:f>
          </x14:formula1>
          <xm:sqref>D47</xm:sqref>
        </x14:dataValidation>
        <x14:dataValidation type="list" allowBlank="1" showInputMessage="1" showErrorMessage="1" xr:uid="{CAA578A1-8A9C-40F3-8C98-CC6C0A71DBEF}">
          <x14:formula1>
            <xm:f>IF(D47="Oui",Conformités!$A$2:$A$3,Conformités!$A$4)</xm:f>
          </x14:formula1>
          <xm:sqref>D49</xm:sqref>
        </x14:dataValidation>
        <x14:dataValidation type="list" allowBlank="1" showInputMessage="1" showErrorMessage="1" xr:uid="{A29888B5-7FD2-4C61-B66B-524C0A6BB637}">
          <x14:formula1>
            <xm:f>IF(D45="Oui",Conformités!$A$2:$A$3,Conformités!$A$4)</xm:f>
          </x14:formula1>
          <xm:sqref>D48</xm:sqref>
        </x14:dataValidation>
        <x14:dataValidation type="list" allowBlank="1" showInputMessage="1" showErrorMessage="1" xr:uid="{49477577-6FA5-47AD-8920-05FFB3C0AEAE}">
          <x14:formula1>
            <xm:f>IF(D45="Oui",Conformités!$A$2:$A$3,Conformités!$A$4)</xm:f>
          </x14:formula1>
          <xm:sqref>D50</xm:sqref>
        </x14:dataValidation>
        <x14:dataValidation type="list" allowBlank="1" showInputMessage="1" showErrorMessage="1" xr:uid="{E944AC87-23B1-4658-B3CB-64E267432FF7}">
          <x14:formula1>
            <xm:f>IF(D45="Oui",Conformités!$A$2:$A$3,Conformités!$A$4)</xm:f>
          </x14:formula1>
          <xm:sqref>D52</xm:sqref>
        </x14:dataValidation>
        <x14:dataValidation type="list" allowBlank="1" showInputMessage="1" showErrorMessage="1" promptTitle="Choisir" xr:uid="{87739353-6F43-4F10-AACE-6507753587A9}">
          <x14:formula1>
            <xm:f>Conformités!$A$2:$A$3</xm:f>
          </x14:formula1>
          <xm:sqref>D2</xm:sqref>
        </x14:dataValidation>
        <x14:dataValidation type="list" allowBlank="1" showInputMessage="1" showErrorMessage="1" xr:uid="{CFA10782-AFC5-4A09-A8EA-FEA80AABB361}">
          <x14:formula1>
            <xm:f>IF(D45="Oui",Conformités!$A$2:$A$3,Conformités!$A$4)</xm:f>
          </x14:formula1>
          <xm:sqref>D51</xm:sqref>
        </x14:dataValidation>
        <x14:dataValidation type="list" allowBlank="1" showInputMessage="1" showErrorMessage="1" xr:uid="{CF82A4F4-CC29-4C3C-A77A-AA83463BCAEA}">
          <x14:formula1>
            <xm:f>IF(D18="Non",Conformités!$A$4,Conformités!$A$2:$A$3)</xm:f>
          </x14:formula1>
          <xm:sqref>D26 D21</xm:sqref>
        </x14:dataValidation>
        <x14:dataValidation type="list" allowBlank="1" showInputMessage="1" showErrorMessage="1" xr:uid="{9BB4219E-A57D-4985-9CA1-FDBA0B7E452C}">
          <x14:formula1>
            <xm:f>IF(D18="Non",Conformités!$A$4,Conformités!$A$2:$A$3)</xm:f>
          </x14:formula1>
          <xm:sqref>D26 D22</xm:sqref>
        </x14:dataValidation>
        <x14:dataValidation type="list" allowBlank="1" showInputMessage="1" showErrorMessage="1" xr:uid="{AEFB01D4-DAB5-4442-B724-65BD0183C310}">
          <x14:formula1>
            <xm:f>IF(D27="Non applicable",Conformités!$A$4,Conformités!$A$2:$A$3)</xm:f>
          </x14:formula1>
          <xm:sqref>D28</xm:sqref>
        </x14:dataValidation>
        <x14:dataValidation type="list" allowBlank="1" showInputMessage="1" showErrorMessage="1" xr:uid="{4E15F24D-A03A-46A4-BC5A-A020DF68CCE6}">
          <x14:formula1>
            <xm:f>IF(D45="Oui",Conformités!$A$2:$A$3,Conformités!$A$4)</xm:f>
          </x14:formula1>
          <xm:sqref>D46</xm:sqref>
        </x14:dataValidation>
        <x14:dataValidation type="list" allowBlank="1" showInputMessage="1" showErrorMessage="1" xr:uid="{31EE6828-4287-4594-A704-781DEA201487}">
          <x14:formula1>
            <xm:f>IF(OR(D33="Oui",D34="Oui"),Conformités!$A$2:$A$3,Conformités!$A$4)</xm:f>
          </x14:formula1>
          <xm:sqref>D39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24BD0-8941-45E1-9426-CDAC5254290D}">
  <dimension ref="A1:E5"/>
  <sheetViews>
    <sheetView workbookViewId="0">
      <selection activeCell="E2" sqref="E2"/>
    </sheetView>
  </sheetViews>
  <sheetFormatPr defaultColWidth="8.85546875" defaultRowHeight="15"/>
  <cols>
    <col min="1" max="1" width="12.7109375" customWidth="1"/>
    <col min="2" max="2" width="15.28515625" style="5" customWidth="1"/>
    <col min="3" max="3" width="13.42578125" style="5" customWidth="1"/>
    <col min="4" max="4" width="21" style="5" customWidth="1"/>
    <col min="5" max="5" width="17.42578125" style="5" customWidth="1"/>
    <col min="6" max="6" width="51.140625" customWidth="1"/>
  </cols>
  <sheetData>
    <row r="1" spans="1:5" ht="15.95">
      <c r="A1" s="21"/>
      <c r="B1" s="25" t="s">
        <v>344</v>
      </c>
      <c r="C1" s="25" t="s">
        <v>345</v>
      </c>
      <c r="D1" s="25" t="s">
        <v>346</v>
      </c>
      <c r="E1" s="26" t="s">
        <v>347</v>
      </c>
    </row>
    <row r="2" spans="1:5">
      <c r="A2" s="22" t="s">
        <v>348</v>
      </c>
      <c r="B2" s="15" cm="1">
        <f t="array" ref="B2">SUMPRODUCT((Autodiagnostic!F2:F78="Niv. 1")*(Autodiagnostic!D2:D78&lt;&gt;"")*(Autodiagnostic!D2:D78&lt;&gt;"Non applicable"))*6</f>
        <v>0</v>
      </c>
      <c r="C2" s="15">
        <f>SUMIFS(Autodiagnostic!E2:E78,Autodiagnostic!F2:F78,"Niv. 1",Autodiagnostic!D2:D78,"&lt;&gt;",Autodiagnostic!D2:D78,"&lt;&gt;Non applicable")</f>
        <v>0</v>
      </c>
      <c r="D2" s="15">
        <f t="shared" ref="D2:D4" si="0">B2-C2</f>
        <v>0</v>
      </c>
      <c r="E2" s="16" t="e">
        <f>((C2*100)/B2)/100</f>
        <v>#DIV/0!</v>
      </c>
    </row>
    <row r="3" spans="1:5">
      <c r="A3" s="23" t="s">
        <v>349</v>
      </c>
      <c r="B3" s="6" cm="1">
        <f t="array" ref="B3">SUMPRODUCT((Autodiagnostic!F2:F78="Niv. 2")*(Autodiagnostic!D2:D78&lt;&gt;"")*(Autodiagnostic!D2:D78&lt;&gt;"Non applicable"))*4</f>
        <v>0</v>
      </c>
      <c r="C3" s="6">
        <f>SUMIFS(Autodiagnostic!E2:E78,Autodiagnostic!F2:F78,"Niv. 2",Autodiagnostic!D2:D78,"&lt;&gt;",Autodiagnostic!D2:D78,"&lt;&gt;Non applicable")</f>
        <v>0</v>
      </c>
      <c r="D3" s="6">
        <f t="shared" si="0"/>
        <v>0</v>
      </c>
      <c r="E3" s="7" t="e">
        <f>((C3*100)/B3)/100</f>
        <v>#DIV/0!</v>
      </c>
    </row>
    <row r="4" spans="1:5">
      <c r="A4" s="24" t="s">
        <v>350</v>
      </c>
      <c r="B4" s="14" cm="1">
        <f t="array" ref="B4">SUMPRODUCT((Autodiagnostic!F2:F78="Niv. 3")*(Autodiagnostic!D2:D78&lt;&gt;"")*(Autodiagnostic!D2:D78&lt;&gt;"Non applicable"))*2</f>
        <v>0</v>
      </c>
      <c r="C4" s="14">
        <f>SUMIFS(Autodiagnostic!E2:E78,Autodiagnostic!F2:F78,"Niv. 3",Autodiagnostic!D2:D78,"&lt;&gt;",Autodiagnostic!D2:D78,"&lt;&gt;Non applicable")</f>
        <v>0</v>
      </c>
      <c r="D4" s="14">
        <f t="shared" si="0"/>
        <v>0</v>
      </c>
      <c r="E4" s="7" t="e">
        <f>((C4*100)/B4)/100</f>
        <v>#DIV/0!</v>
      </c>
    </row>
    <row r="5" spans="1:5">
      <c r="A5" s="17" t="s">
        <v>351</v>
      </c>
      <c r="B5" s="18">
        <f>SUM(B2:B4)</f>
        <v>0</v>
      </c>
      <c r="C5" s="19">
        <f>SUM(C2:C4)</f>
        <v>0</v>
      </c>
      <c r="D5" s="19">
        <f>SUM(D2:D4)</f>
        <v>0</v>
      </c>
      <c r="E5" s="20" t="e">
        <f>((C5*100)/B5)/100</f>
        <v>#DIV/0!</v>
      </c>
    </row>
  </sheetData>
  <sheetProtection algorithmName="SHA-512" hashValue="neAlzVawTQgHocn2kGR234TFoVUdpXRsLLBG21ANqgXQ02fheI19QCPVvaSypP+KdG7971NAgJuKe4BXNlbauw==" saltValue="1rfhmIkhKcZl3mCELtXJDA=="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D32"/>
  </sheetPr>
  <dimension ref="A1:L81"/>
  <sheetViews>
    <sheetView topLeftCell="B1" workbookViewId="0">
      <pane ySplit="4" topLeftCell="B5" activePane="bottomLeft" state="frozen"/>
      <selection pane="bottomLeft" activeCell="C12" sqref="C12"/>
    </sheetView>
  </sheetViews>
  <sheetFormatPr defaultColWidth="8.85546875" defaultRowHeight="15"/>
  <cols>
    <col min="1" max="1" width="6" style="5" hidden="1" customWidth="1"/>
    <col min="2" max="2" width="34" style="5" customWidth="1"/>
    <col min="3" max="3" width="60" style="5" customWidth="1"/>
    <col min="4" max="4" width="14" style="5" customWidth="1"/>
    <col min="5" max="5" width="55" style="5" customWidth="1"/>
    <col min="6" max="7" width="13" style="5" customWidth="1"/>
    <col min="8" max="8" width="45" style="5" customWidth="1"/>
    <col min="9" max="10" width="8.85546875" style="5"/>
    <col min="11" max="11" width="3.28515625" style="5" hidden="1" customWidth="1"/>
    <col min="12" max="12" width="3.140625" style="5" hidden="1" customWidth="1"/>
    <col min="13" max="16384" width="8.85546875" style="5"/>
  </cols>
  <sheetData>
    <row r="1" spans="1:12" ht="34.5" customHeight="1">
      <c r="B1" s="85" t="s">
        <v>352</v>
      </c>
    </row>
    <row r="2" spans="1:12" ht="56.25" customHeight="1">
      <c r="B2" s="91" t="s">
        <v>353</v>
      </c>
      <c r="C2" s="91"/>
      <c r="D2" s="91"/>
    </row>
    <row r="3" spans="1:12" ht="21.95" customHeight="1">
      <c r="B3" s="86" t="s">
        <v>354</v>
      </c>
      <c r="C3" s="86">
        <f>COUNT($L$5:$L$81)</f>
        <v>0</v>
      </c>
    </row>
    <row r="4" spans="1:12" ht="30.75" customHeight="1">
      <c r="A4" s="87" t="s">
        <v>355</v>
      </c>
      <c r="B4" s="88" t="s">
        <v>356</v>
      </c>
      <c r="C4" s="88" t="s">
        <v>44</v>
      </c>
      <c r="D4" s="88" t="s">
        <v>357</v>
      </c>
      <c r="E4" s="88" t="s">
        <v>358</v>
      </c>
      <c r="F4" s="88" t="s">
        <v>48</v>
      </c>
      <c r="G4" s="88" t="s">
        <v>49</v>
      </c>
      <c r="H4" s="88" t="s">
        <v>359</v>
      </c>
    </row>
    <row r="5" spans="1:12" ht="30.75" customHeight="1">
      <c r="A5" s="89" t="str">
        <f>IF($K5="","",1)</f>
        <v/>
      </c>
      <c r="B5" s="90" t="str">
        <f>IF($K5="","",INDEX(Autodiagnostic!$A$1:$A$78,$K5))</f>
        <v/>
      </c>
      <c r="C5" s="90" t="str">
        <f>IF($K5="","",INDEX(Autodiagnostic!$B$1:$B$78,$K5))</f>
        <v/>
      </c>
      <c r="D5" s="90" t="str">
        <f>IF($K5="","",INDEX(Autodiagnostic!$D$1:$D$78,$K5))</f>
        <v/>
      </c>
      <c r="E5" s="90" t="str">
        <f>IF($K5="","",INDEX(Autodiagnostic!$I$1:$I$78,$K5))</f>
        <v/>
      </c>
      <c r="F5" s="90" t="str">
        <f>IF($K5="","",INDEX(Autodiagnostic!$F$1:$F$78,$K5))</f>
        <v/>
      </c>
      <c r="G5" s="90" t="str">
        <f>IF($K5="","",INDEX(Autodiagnostic!$G$1:$G$78,$K5))</f>
        <v/>
      </c>
      <c r="H5" s="90" t="str">
        <f>IF($K5="","",INDEX(Autodiagnostic!$H$1:$H$78,$K5))</f>
        <v/>
      </c>
      <c r="K5" s="5" t="str">
        <f>IFERROR(MOD(SMALL($L$5:$L$81,1),1000),"")</f>
        <v/>
      </c>
      <c r="L5" s="5" t="str">
        <f>IF(Autodiagnostic!I2="","",2)</f>
        <v/>
      </c>
    </row>
    <row r="6" spans="1:12" ht="30.75" customHeight="1">
      <c r="A6" s="89" t="str">
        <f>IF($K6="","",2)</f>
        <v/>
      </c>
      <c r="B6" s="89" t="str">
        <f>IF($K6="","",INDEX(Autodiagnostic!$A$1:$A$78,$K6))</f>
        <v/>
      </c>
      <c r="C6" s="89" t="str">
        <f>IF($K6="","",INDEX(Autodiagnostic!$B$1:$B$78,$K6))</f>
        <v/>
      </c>
      <c r="D6" s="89" t="str">
        <f>IF($K6="","",INDEX(Autodiagnostic!$D$1:$D$78,$K6))</f>
        <v/>
      </c>
      <c r="E6" s="89" t="str">
        <f>IF($K6="","",INDEX(Autodiagnostic!$I$1:$I$78,$K6))</f>
        <v/>
      </c>
      <c r="F6" s="89" t="str">
        <f>IF($K6="","",INDEX(Autodiagnostic!$F$1:$F$78,$K6))</f>
        <v/>
      </c>
      <c r="G6" s="89" t="str">
        <f>IF($K6="","",INDEX(Autodiagnostic!$G$1:$G$78,$K6))</f>
        <v/>
      </c>
      <c r="H6" s="89" t="str">
        <f>IF($K6="","",INDEX(Autodiagnostic!$H$1:$H$78,$K6))</f>
        <v/>
      </c>
      <c r="K6" s="5" t="str">
        <f>IFERROR(MOD(SMALL($L$5:$L$81,2),1000),"")</f>
        <v/>
      </c>
      <c r="L6" s="5" t="str">
        <f>IF(Autodiagnostic!I3="","",3)</f>
        <v/>
      </c>
    </row>
    <row r="7" spans="1:12" ht="30.75" customHeight="1">
      <c r="A7" s="89" t="str">
        <f>IF($K7="","",3)</f>
        <v/>
      </c>
      <c r="B7" s="89" t="str">
        <f>IF($K7="","",INDEX(Autodiagnostic!$A$1:$A$78,$K7))</f>
        <v/>
      </c>
      <c r="C7" s="89" t="str">
        <f>IF($K7="","",INDEX(Autodiagnostic!$B$1:$B$78,$K7))</f>
        <v/>
      </c>
      <c r="D7" s="89" t="str">
        <f>IF($K7="","",INDEX(Autodiagnostic!$D$1:$D$78,$K7))</f>
        <v/>
      </c>
      <c r="E7" s="89" t="str">
        <f>IF($K7="","",INDEX(Autodiagnostic!$I$1:$I$78,$K7))</f>
        <v/>
      </c>
      <c r="F7" s="89" t="str">
        <f>IF($K7="","",INDEX(Autodiagnostic!$F$1:$F$78,$K7))</f>
        <v/>
      </c>
      <c r="G7" s="89" t="str">
        <f>IF($K7="","",INDEX(Autodiagnostic!$G$1:$G$78,$K7))</f>
        <v/>
      </c>
      <c r="H7" s="89" t="str">
        <f>IF($K7="","",INDEX(Autodiagnostic!$H$1:$H$78,$K7))</f>
        <v/>
      </c>
      <c r="K7" s="5" t="str">
        <f>IFERROR(MOD(SMALL($L$5:$L$81,3),1000),"")</f>
        <v/>
      </c>
      <c r="L7" s="5" t="str">
        <f>IF(Autodiagnostic!I4="","",4)</f>
        <v/>
      </c>
    </row>
    <row r="8" spans="1:12" ht="30.75" customHeight="1">
      <c r="A8" s="89" t="str">
        <f>IF($K8="","",4)</f>
        <v/>
      </c>
      <c r="B8" s="89" t="str">
        <f>IF($K8="","",INDEX(Autodiagnostic!$A$1:$A$78,$K8))</f>
        <v/>
      </c>
      <c r="C8" s="89" t="str">
        <f>IF($K8="","",INDEX(Autodiagnostic!$B$1:$B$78,$K8))</f>
        <v/>
      </c>
      <c r="D8" s="89" t="str">
        <f>IF($K8="","",INDEX(Autodiagnostic!$D$1:$D$78,$K8))</f>
        <v/>
      </c>
      <c r="E8" s="89" t="str">
        <f>IF($K8="","",INDEX(Autodiagnostic!$I$1:$I$78,$K8))</f>
        <v/>
      </c>
      <c r="F8" s="89" t="str">
        <f>IF($K8="","",INDEX(Autodiagnostic!$F$1:$F$78,$K8))</f>
        <v/>
      </c>
      <c r="G8" s="89" t="str">
        <f>IF($K8="","",INDEX(Autodiagnostic!$G$1:$G$78,$K8))</f>
        <v/>
      </c>
      <c r="H8" s="89" t="str">
        <f>IF($K8="","",INDEX(Autodiagnostic!$H$1:$H$78,$K8))</f>
        <v/>
      </c>
      <c r="K8" s="5" t="str">
        <f>IFERROR(MOD(SMALL($L$5:$L$81,4),1000),"")</f>
        <v/>
      </c>
      <c r="L8" s="5" t="str">
        <f>IF(Autodiagnostic!I5="","",5)</f>
        <v/>
      </c>
    </row>
    <row r="9" spans="1:12" ht="30.75" customHeight="1">
      <c r="A9" s="89" t="str">
        <f>IF($K9="","",5)</f>
        <v/>
      </c>
      <c r="B9" s="89" t="str">
        <f>IF($K9="","",INDEX(Autodiagnostic!$A$1:$A$78,$K9))</f>
        <v/>
      </c>
      <c r="C9" s="89" t="str">
        <f>IF($K9="","",INDEX(Autodiagnostic!$B$1:$B$78,$K9))</f>
        <v/>
      </c>
      <c r="D9" s="89" t="str">
        <f>IF($K9="","",INDEX(Autodiagnostic!$D$1:$D$78,$K9))</f>
        <v/>
      </c>
      <c r="E9" s="89" t="str">
        <f>IF($K9="","",INDEX(Autodiagnostic!$I$1:$I$78,$K9))</f>
        <v/>
      </c>
      <c r="F9" s="89" t="str">
        <f>IF($K9="","",INDEX(Autodiagnostic!$F$1:$F$78,$K9))</f>
        <v/>
      </c>
      <c r="G9" s="89" t="str">
        <f>IF($K9="","",INDEX(Autodiagnostic!$G$1:$G$78,$K9))</f>
        <v/>
      </c>
      <c r="H9" s="89" t="str">
        <f>IF($K9="","",INDEX(Autodiagnostic!$H$1:$H$78,$K9))</f>
        <v/>
      </c>
      <c r="K9" s="5" t="str">
        <f>IFERROR(MOD(SMALL($L$5:$L$81,5),1000),"")</f>
        <v/>
      </c>
      <c r="L9" s="5" t="str">
        <f>IF(Autodiagnostic!I6="","",6)</f>
        <v/>
      </c>
    </row>
    <row r="10" spans="1:12" ht="30.75" customHeight="1">
      <c r="A10" s="89" t="str">
        <f>IF($K10="","",6)</f>
        <v/>
      </c>
      <c r="B10" s="89" t="str">
        <f>IF($K10="","",INDEX(Autodiagnostic!$A$1:$A$78,$K10))</f>
        <v/>
      </c>
      <c r="C10" s="89" t="str">
        <f>IF($K10="","",INDEX(Autodiagnostic!$B$1:$B$78,$K10))</f>
        <v/>
      </c>
      <c r="D10" s="89" t="str">
        <f>IF($K10="","",INDEX(Autodiagnostic!$D$1:$D$78,$K10))</f>
        <v/>
      </c>
      <c r="E10" s="89" t="str">
        <f>IF($K10="","",INDEX(Autodiagnostic!$I$1:$I$78,$K10))</f>
        <v/>
      </c>
      <c r="F10" s="89" t="str">
        <f>IF($K10="","",INDEX(Autodiagnostic!$F$1:$F$78,$K10))</f>
        <v/>
      </c>
      <c r="G10" s="89" t="str">
        <f>IF($K10="","",INDEX(Autodiagnostic!$G$1:$G$78,$K10))</f>
        <v/>
      </c>
      <c r="H10" s="89" t="str">
        <f>IF($K10="","",INDEX(Autodiagnostic!$H$1:$H$78,$K10))</f>
        <v/>
      </c>
      <c r="K10" s="5" t="str">
        <f>IFERROR(MOD(SMALL($L$5:$L$81,6),1000),"")</f>
        <v/>
      </c>
      <c r="L10" s="5" t="str">
        <f>IF(Autodiagnostic!I7="","",7)</f>
        <v/>
      </c>
    </row>
    <row r="11" spans="1:12" ht="30.75" customHeight="1">
      <c r="A11" s="89" t="str">
        <f>IF($K11="","",7)</f>
        <v/>
      </c>
      <c r="B11" s="89" t="str">
        <f>IF($K11="","",INDEX(Autodiagnostic!$A$1:$A$78,$K11))</f>
        <v/>
      </c>
      <c r="C11" s="89" t="str">
        <f>IF($K11="","",INDEX(Autodiagnostic!$B$1:$B$78,$K11))</f>
        <v/>
      </c>
      <c r="D11" s="89" t="str">
        <f>IF($K11="","",INDEX(Autodiagnostic!$D$1:$D$78,$K11))</f>
        <v/>
      </c>
      <c r="E11" s="89" t="str">
        <f>IF($K11="","",INDEX(Autodiagnostic!$I$1:$I$78,$K11))</f>
        <v/>
      </c>
      <c r="F11" s="89" t="str">
        <f>IF($K11="","",INDEX(Autodiagnostic!$F$1:$F$78,$K11))</f>
        <v/>
      </c>
      <c r="G11" s="89" t="str">
        <f>IF($K11="","",INDEX(Autodiagnostic!$G$1:$G$78,$K11))</f>
        <v/>
      </c>
      <c r="H11" s="89" t="str">
        <f>IF($K11="","",INDEX(Autodiagnostic!$H$1:$H$78,$K11))</f>
        <v/>
      </c>
      <c r="K11" s="5" t="str">
        <f>IFERROR(MOD(SMALL($L$5:$L$81,7),1000),"")</f>
        <v/>
      </c>
      <c r="L11" s="5" t="str">
        <f>IF(Autodiagnostic!I8="","",8)</f>
        <v/>
      </c>
    </row>
    <row r="12" spans="1:12" ht="30.75" customHeight="1">
      <c r="A12" s="89" t="str">
        <f>IF($K12="","",8)</f>
        <v/>
      </c>
      <c r="B12" s="89" t="str">
        <f>IF($K12="","",INDEX(Autodiagnostic!$A$1:$A$78,$K12))</f>
        <v/>
      </c>
      <c r="C12" s="89" t="str">
        <f>IF($K12="","",INDEX(Autodiagnostic!$B$1:$B$78,$K12))</f>
        <v/>
      </c>
      <c r="D12" s="89" t="str">
        <f>IF($K12="","",INDEX(Autodiagnostic!$D$1:$D$78,$K12))</f>
        <v/>
      </c>
      <c r="E12" s="89" t="str">
        <f>IF($K12="","",INDEX(Autodiagnostic!$I$1:$I$78,$K12))</f>
        <v/>
      </c>
      <c r="F12" s="89" t="str">
        <f>IF($K12="","",INDEX(Autodiagnostic!$F$1:$F$78,$K12))</f>
        <v/>
      </c>
      <c r="G12" s="89" t="str">
        <f>IF($K12="","",INDEX(Autodiagnostic!$G$1:$G$78,$K12))</f>
        <v/>
      </c>
      <c r="H12" s="89" t="str">
        <f>IF($K12="","",INDEX(Autodiagnostic!$H$1:$H$78,$K12))</f>
        <v/>
      </c>
      <c r="K12" s="5" t="str">
        <f>IFERROR(MOD(SMALL($L$5:$L$81,8),1000),"")</f>
        <v/>
      </c>
      <c r="L12" s="5" t="str">
        <f>IF(Autodiagnostic!I9="","",9)</f>
        <v/>
      </c>
    </row>
    <row r="13" spans="1:12" ht="30.75" customHeight="1">
      <c r="A13" s="89" t="str">
        <f>IF($K13="","",9)</f>
        <v/>
      </c>
      <c r="B13" s="89" t="str">
        <f>IF($K13="","",INDEX(Autodiagnostic!$A$1:$A$78,$K13))</f>
        <v/>
      </c>
      <c r="C13" s="89" t="str">
        <f>IF($K13="","",INDEX(Autodiagnostic!$B$1:$B$78,$K13))</f>
        <v/>
      </c>
      <c r="D13" s="89" t="str">
        <f>IF($K13="","",INDEX(Autodiagnostic!$D$1:$D$78,$K13))</f>
        <v/>
      </c>
      <c r="E13" s="89" t="str">
        <f>IF($K13="","",INDEX(Autodiagnostic!$I$1:$I$78,$K13))</f>
        <v/>
      </c>
      <c r="F13" s="89" t="str">
        <f>IF($K13="","",INDEX(Autodiagnostic!$F$1:$F$78,$K13))</f>
        <v/>
      </c>
      <c r="G13" s="89" t="str">
        <f>IF($K13="","",INDEX(Autodiagnostic!$G$1:$G$78,$K13))</f>
        <v/>
      </c>
      <c r="H13" s="89" t="str">
        <f>IF($K13="","",INDEX(Autodiagnostic!$H$1:$H$78,$K13))</f>
        <v/>
      </c>
      <c r="K13" s="5" t="str">
        <f>IFERROR(MOD(SMALL($L$5:$L$81,9),1000),"")</f>
        <v/>
      </c>
      <c r="L13" s="5" t="str">
        <f>IF(Autodiagnostic!I10="","",10)</f>
        <v/>
      </c>
    </row>
    <row r="14" spans="1:12" ht="30.75" customHeight="1">
      <c r="A14" s="89" t="str">
        <f>IF($K14="","",10)</f>
        <v/>
      </c>
      <c r="B14" s="89" t="str">
        <f>IF($K14="","",INDEX(Autodiagnostic!$A$1:$A$78,$K14))</f>
        <v/>
      </c>
      <c r="C14" s="89" t="str">
        <f>IF($K14="","",INDEX(Autodiagnostic!$B$1:$B$78,$K14))</f>
        <v/>
      </c>
      <c r="D14" s="89" t="str">
        <f>IF($K14="","",INDEX(Autodiagnostic!$D$1:$D$78,$K14))</f>
        <v/>
      </c>
      <c r="E14" s="89" t="str">
        <f>IF($K14="","",INDEX(Autodiagnostic!$I$1:$I$78,$K14))</f>
        <v/>
      </c>
      <c r="F14" s="89" t="str">
        <f>IF($K14="","",INDEX(Autodiagnostic!$F$1:$F$78,$K14))</f>
        <v/>
      </c>
      <c r="G14" s="89" t="str">
        <f>IF($K14="","",INDEX(Autodiagnostic!$G$1:$G$78,$K14))</f>
        <v/>
      </c>
      <c r="H14" s="89" t="str">
        <f>IF($K14="","",INDEX(Autodiagnostic!$H$1:$H$78,$K14))</f>
        <v/>
      </c>
      <c r="K14" s="5" t="str">
        <f>IFERROR(MOD(SMALL($L$5:$L$81,10),1000),"")</f>
        <v/>
      </c>
      <c r="L14" s="5" t="str">
        <f>IF(Autodiagnostic!I15="","",15)</f>
        <v/>
      </c>
    </row>
    <row r="15" spans="1:12" ht="30.75" customHeight="1">
      <c r="A15" s="89" t="str">
        <f>IF($K15="","",11)</f>
        <v/>
      </c>
      <c r="B15" s="89" t="str">
        <f>IF($K15="","",INDEX(Autodiagnostic!$A$1:$A$78,$K15))</f>
        <v/>
      </c>
      <c r="C15" s="89" t="str">
        <f>IF($K15="","",INDEX(Autodiagnostic!$B$1:$B$78,$K15))</f>
        <v/>
      </c>
      <c r="D15" s="89" t="str">
        <f>IF($K15="","",INDEX(Autodiagnostic!$D$1:$D$78,$K15))</f>
        <v/>
      </c>
      <c r="E15" s="89" t="str">
        <f>IF($K15="","",INDEX(Autodiagnostic!$I$1:$I$78,$K15))</f>
        <v/>
      </c>
      <c r="F15" s="89" t="str">
        <f>IF($K15="","",INDEX(Autodiagnostic!$F$1:$F$78,$K15))</f>
        <v/>
      </c>
      <c r="G15" s="89" t="str">
        <f>IF($K15="","",INDEX(Autodiagnostic!$G$1:$G$78,$K15))</f>
        <v/>
      </c>
      <c r="H15" s="89" t="str">
        <f>IF($K15="","",INDEX(Autodiagnostic!$H$1:$H$78,$K15))</f>
        <v/>
      </c>
      <c r="K15" s="5" t="str">
        <f>IFERROR(MOD(SMALL($L$5:$L$81,11),1000),"")</f>
        <v/>
      </c>
      <c r="L15" s="5" t="str">
        <f>IF(Autodiagnostic!I11="","",11)</f>
        <v/>
      </c>
    </row>
    <row r="16" spans="1:12" ht="30.75" customHeight="1">
      <c r="A16" s="89" t="str">
        <f>IF($K16="","",12)</f>
        <v/>
      </c>
      <c r="B16" s="89" t="str">
        <f>IF($K16="","",INDEX(Autodiagnostic!$A$1:$A$78,$K16))</f>
        <v/>
      </c>
      <c r="C16" s="89" t="str">
        <f>IF($K16="","",INDEX(Autodiagnostic!$B$1:$B$78,$K16))</f>
        <v/>
      </c>
      <c r="D16" s="89" t="str">
        <f>IF($K16="","",INDEX(Autodiagnostic!$D$1:$D$78,$K16))</f>
        <v/>
      </c>
      <c r="E16" s="89" t="str">
        <f>IF($K16="","",INDEX(Autodiagnostic!$I$1:$I$78,$K16))</f>
        <v/>
      </c>
      <c r="F16" s="89" t="str">
        <f>IF($K16="","",INDEX(Autodiagnostic!$F$1:$F$78,$K16))</f>
        <v/>
      </c>
      <c r="G16" s="89" t="str">
        <f>IF($K16="","",INDEX(Autodiagnostic!$G$1:$G$78,$K16))</f>
        <v/>
      </c>
      <c r="H16" s="89" t="str">
        <f>IF($K16="","",INDEX(Autodiagnostic!$H$1:$H$78,$K16))</f>
        <v/>
      </c>
      <c r="K16" s="5" t="str">
        <f>IFERROR(MOD(SMALL($L$5:$L$81,12),1000),"")</f>
        <v/>
      </c>
      <c r="L16" s="5" t="str">
        <f>IF(Autodiagnostic!I12="","",12)</f>
        <v/>
      </c>
    </row>
    <row r="17" spans="1:12" ht="30.75" customHeight="1">
      <c r="A17" s="89" t="str">
        <f>IF($K17="","",13)</f>
        <v/>
      </c>
      <c r="B17" s="89" t="str">
        <f>IF($K17="","",INDEX(Autodiagnostic!$A$1:$A$78,$K17))</f>
        <v/>
      </c>
      <c r="C17" s="89" t="str">
        <f>IF($K17="","",INDEX(Autodiagnostic!$B$1:$B$78,$K17))</f>
        <v/>
      </c>
      <c r="D17" s="89" t="str">
        <f>IF($K17="","",INDEX(Autodiagnostic!$D$1:$D$78,$K17))</f>
        <v/>
      </c>
      <c r="E17" s="89" t="str">
        <f>IF($K17="","",INDEX(Autodiagnostic!$I$1:$I$78,$K17))</f>
        <v/>
      </c>
      <c r="F17" s="89" t="str">
        <f>IF($K17="","",INDEX(Autodiagnostic!$F$1:$F$78,$K17))</f>
        <v/>
      </c>
      <c r="G17" s="89" t="str">
        <f>IF($K17="","",INDEX(Autodiagnostic!$G$1:$G$78,$K17))</f>
        <v/>
      </c>
      <c r="H17" s="89" t="str">
        <f>IF($K17="","",INDEX(Autodiagnostic!$H$1:$H$78,$K17))</f>
        <v/>
      </c>
      <c r="K17" s="5" t="str">
        <f>IFERROR(MOD(SMALL($L$5:$L$81,13),1000),"")</f>
        <v/>
      </c>
      <c r="L17" s="5" t="str">
        <f>IF(Autodiagnostic!I13="","",13)</f>
        <v/>
      </c>
    </row>
    <row r="18" spans="1:12" ht="30.75" customHeight="1">
      <c r="A18" s="89" t="str">
        <f>IF($K18="","",14)</f>
        <v/>
      </c>
      <c r="B18" s="89" t="str">
        <f>IF($K18="","",INDEX(Autodiagnostic!$A$1:$A$78,$K18))</f>
        <v/>
      </c>
      <c r="C18" s="89" t="str">
        <f>IF($K18="","",INDEX(Autodiagnostic!$B$1:$B$78,$K18))</f>
        <v/>
      </c>
      <c r="D18" s="89" t="str">
        <f>IF($K18="","",INDEX(Autodiagnostic!$D$1:$D$78,$K18))</f>
        <v/>
      </c>
      <c r="E18" s="89" t="str">
        <f>IF($K18="","",INDEX(Autodiagnostic!$I$1:$I$78,$K18))</f>
        <v/>
      </c>
      <c r="F18" s="89" t="str">
        <f>IF($K18="","",INDEX(Autodiagnostic!$F$1:$F$78,$K18))</f>
        <v/>
      </c>
      <c r="G18" s="89" t="str">
        <f>IF($K18="","",INDEX(Autodiagnostic!$G$1:$G$78,$K18))</f>
        <v/>
      </c>
      <c r="H18" s="89" t="str">
        <f>IF($K18="","",INDEX(Autodiagnostic!$H$1:$H$78,$K18))</f>
        <v/>
      </c>
      <c r="K18" s="5" t="str">
        <f>IFERROR(MOD(SMALL($L$5:$L$81,14),1000),"")</f>
        <v/>
      </c>
      <c r="L18" s="5" t="str">
        <f>IF(Autodiagnostic!I14="","",14)</f>
        <v/>
      </c>
    </row>
    <row r="19" spans="1:12" ht="30.75" customHeight="1">
      <c r="A19" s="89" t="str">
        <f>IF($K19="","",15)</f>
        <v/>
      </c>
      <c r="B19" s="89" t="str">
        <f>IF($K19="","",INDEX(Autodiagnostic!$A$1:$A$78,$K19))</f>
        <v/>
      </c>
      <c r="C19" s="89" t="str">
        <f>IF($K19="","",INDEX(Autodiagnostic!$B$1:$B$78,$K19))</f>
        <v/>
      </c>
      <c r="D19" s="89" t="str">
        <f>IF($K19="","",INDEX(Autodiagnostic!$D$1:$D$78,$K19))</f>
        <v/>
      </c>
      <c r="E19" s="89" t="str">
        <f>IF($K19="","",INDEX(Autodiagnostic!$I$1:$I$78,$K19))</f>
        <v/>
      </c>
      <c r="F19" s="89" t="str">
        <f>IF($K19="","",INDEX(Autodiagnostic!$F$1:$F$78,$K19))</f>
        <v/>
      </c>
      <c r="G19" s="89" t="str">
        <f>IF($K19="","",INDEX(Autodiagnostic!$G$1:$G$78,$K19))</f>
        <v/>
      </c>
      <c r="H19" s="89" t="str">
        <f>IF($K19="","",INDEX(Autodiagnostic!$H$1:$H$78,$K19))</f>
        <v/>
      </c>
      <c r="K19" s="5" t="str">
        <f>IFERROR(MOD(SMALL($L$5:$L$81,15),1000),"")</f>
        <v/>
      </c>
      <c r="L19" s="5" t="str">
        <f>IF(Autodiagnostic!I16="","",16)</f>
        <v/>
      </c>
    </row>
    <row r="20" spans="1:12" ht="30.75" customHeight="1">
      <c r="A20" s="89" t="str">
        <f>IF($K20="","",16)</f>
        <v/>
      </c>
      <c r="B20" s="89" t="str">
        <f>IF($K20="","",INDEX(Autodiagnostic!$A$1:$A$78,$K20))</f>
        <v/>
      </c>
      <c r="C20" s="89" t="str">
        <f>IF($K20="","",INDEX(Autodiagnostic!$B$1:$B$78,$K20))</f>
        <v/>
      </c>
      <c r="D20" s="89" t="str">
        <f>IF($K20="","",INDEX(Autodiagnostic!$D$1:$D$78,$K20))</f>
        <v/>
      </c>
      <c r="E20" s="89" t="str">
        <f>IF($K20="","",INDEX(Autodiagnostic!$I$1:$I$78,$K20))</f>
        <v/>
      </c>
      <c r="F20" s="89" t="str">
        <f>IF($K20="","",INDEX(Autodiagnostic!$F$1:$F$78,$K20))</f>
        <v/>
      </c>
      <c r="G20" s="89" t="str">
        <f>IF($K20="","",INDEX(Autodiagnostic!$G$1:$G$78,$K20))</f>
        <v/>
      </c>
      <c r="H20" s="89" t="str">
        <f>IF($K20="","",INDEX(Autodiagnostic!$H$1:$H$78,$K20))</f>
        <v/>
      </c>
      <c r="K20" s="5" t="str">
        <f>IFERROR(MOD(SMALL($L$5:$L$81,16),1000),"")</f>
        <v/>
      </c>
      <c r="L20" s="5" t="str">
        <f>IF(Autodiagnostic!I17="","",17)</f>
        <v/>
      </c>
    </row>
    <row r="21" spans="1:12" ht="30.75" customHeight="1">
      <c r="A21" s="89" t="str">
        <f>IF($K21="","",17)</f>
        <v/>
      </c>
      <c r="B21" s="89" t="str">
        <f>IF($K21="","",INDEX(Autodiagnostic!$A$1:$A$78,$K21))</f>
        <v/>
      </c>
      <c r="C21" s="89" t="str">
        <f>IF($K21="","",INDEX(Autodiagnostic!$B$1:$B$78,$K21))</f>
        <v/>
      </c>
      <c r="D21" s="89" t="str">
        <f>IF($K21="","",INDEX(Autodiagnostic!$D$1:$D$78,$K21))</f>
        <v/>
      </c>
      <c r="E21" s="89" t="str">
        <f>IF($K21="","",INDEX(Autodiagnostic!$I$1:$I$78,$K21))</f>
        <v/>
      </c>
      <c r="F21" s="89" t="str">
        <f>IF($K21="","",INDEX(Autodiagnostic!$F$1:$F$78,$K21))</f>
        <v/>
      </c>
      <c r="G21" s="89" t="str">
        <f>IF($K21="","",INDEX(Autodiagnostic!$G$1:$G$78,$K21))</f>
        <v/>
      </c>
      <c r="H21" s="89" t="str">
        <f>IF($K21="","",INDEX(Autodiagnostic!$H$1:$H$78,$K21))</f>
        <v/>
      </c>
      <c r="K21" s="5" t="str">
        <f>IFERROR(MOD(SMALL($L$5:$L$81,17),1000),"")</f>
        <v/>
      </c>
      <c r="L21" s="5" t="str">
        <f>IF(Autodiagnostic!I18="","",18)</f>
        <v/>
      </c>
    </row>
    <row r="22" spans="1:12" ht="30.75" customHeight="1">
      <c r="A22" s="89" t="str">
        <f>IF($K22="","",18)</f>
        <v/>
      </c>
      <c r="B22" s="89" t="str">
        <f>IF($K22="","",INDEX(Autodiagnostic!$A$1:$A$78,$K22))</f>
        <v/>
      </c>
      <c r="C22" s="89" t="str">
        <f>IF($K22="","",INDEX(Autodiagnostic!$B$1:$B$78,$K22))</f>
        <v/>
      </c>
      <c r="D22" s="89" t="str">
        <f>IF($K22="","",INDEX(Autodiagnostic!$D$1:$D$78,$K22))</f>
        <v/>
      </c>
      <c r="E22" s="89" t="str">
        <f>IF($K22="","",INDEX(Autodiagnostic!$I$1:$I$78,$K22))</f>
        <v/>
      </c>
      <c r="F22" s="89" t="str">
        <f>IF($K22="","",INDEX(Autodiagnostic!$F$1:$F$78,$K22))</f>
        <v/>
      </c>
      <c r="G22" s="89" t="str">
        <f>IF($K22="","",INDEX(Autodiagnostic!$G$1:$G$78,$K22))</f>
        <v/>
      </c>
      <c r="H22" s="89" t="str">
        <f>IF($K22="","",INDEX(Autodiagnostic!$H$1:$H$78,$K22))</f>
        <v/>
      </c>
      <c r="K22" s="5" t="str">
        <f>IFERROR(MOD(SMALL($L$5:$L$81,18),1000),"")</f>
        <v/>
      </c>
      <c r="L22" s="5" t="str">
        <f>IF(Autodiagnostic!I19="","",19)</f>
        <v/>
      </c>
    </row>
    <row r="23" spans="1:12" ht="30.75" customHeight="1">
      <c r="A23" s="89" t="str">
        <f>IF($K23="","",19)</f>
        <v/>
      </c>
      <c r="B23" s="89" t="str">
        <f>IF($K23="","",INDEX(Autodiagnostic!$A$1:$A$78,$K23))</f>
        <v/>
      </c>
      <c r="C23" s="89" t="str">
        <f>IF($K23="","",INDEX(Autodiagnostic!$B$1:$B$78,$K23))</f>
        <v/>
      </c>
      <c r="D23" s="89" t="str">
        <f>IF($K23="","",INDEX(Autodiagnostic!$D$1:$D$78,$K23))</f>
        <v/>
      </c>
      <c r="E23" s="89" t="str">
        <f>IF($K23="","",INDEX(Autodiagnostic!$I$1:$I$78,$K23))</f>
        <v/>
      </c>
      <c r="F23" s="89" t="str">
        <f>IF($K23="","",INDEX(Autodiagnostic!$F$1:$F$78,$K23))</f>
        <v/>
      </c>
      <c r="G23" s="89" t="str">
        <f>IF($K23="","",INDEX(Autodiagnostic!$G$1:$G$78,$K23))</f>
        <v/>
      </c>
      <c r="H23" s="89" t="str">
        <f>IF($K23="","",INDEX(Autodiagnostic!$H$1:$H$78,$K23))</f>
        <v/>
      </c>
      <c r="K23" s="5" t="str">
        <f>IFERROR(MOD(SMALL($L$5:$L$81,19),1000),"")</f>
        <v/>
      </c>
      <c r="L23" s="5" t="str">
        <f>IF(Autodiagnostic!I20="","",20)</f>
        <v/>
      </c>
    </row>
    <row r="24" spans="1:12" ht="30.75" customHeight="1">
      <c r="A24" s="89" t="str">
        <f>IF($K24="","",20)</f>
        <v/>
      </c>
      <c r="B24" s="89" t="str">
        <f>IF($K24="","",INDEX(Autodiagnostic!$A$1:$A$78,$K24))</f>
        <v/>
      </c>
      <c r="C24" s="89" t="str">
        <f>IF($K24="","",INDEX(Autodiagnostic!$B$1:$B$78,$K24))</f>
        <v/>
      </c>
      <c r="D24" s="89" t="str">
        <f>IF($K24="","",INDEX(Autodiagnostic!$D$1:$D$78,$K24))</f>
        <v/>
      </c>
      <c r="E24" s="89" t="str">
        <f>IF($K24="","",INDEX(Autodiagnostic!$I$1:$I$78,$K24))</f>
        <v/>
      </c>
      <c r="F24" s="89" t="str">
        <f>IF($K24="","",INDEX(Autodiagnostic!$F$1:$F$78,$K24))</f>
        <v/>
      </c>
      <c r="G24" s="89" t="str">
        <f>IF($K24="","",INDEX(Autodiagnostic!$G$1:$G$78,$K24))</f>
        <v/>
      </c>
      <c r="H24" s="89" t="str">
        <f>IF($K24="","",INDEX(Autodiagnostic!$H$1:$H$78,$K24))</f>
        <v/>
      </c>
      <c r="K24" s="5" t="str">
        <f>IFERROR(MOD(SMALL($L$5:$L$81,20),1000),"")</f>
        <v/>
      </c>
      <c r="L24" s="5" t="str">
        <f>IF(Autodiagnostic!I21="","",21)</f>
        <v/>
      </c>
    </row>
    <row r="25" spans="1:12" ht="30.75" customHeight="1">
      <c r="A25" s="89" t="str">
        <f>IF($K25="","",21)</f>
        <v/>
      </c>
      <c r="B25" s="89" t="str">
        <f>IF($K25="","",INDEX(Autodiagnostic!$A$1:$A$78,$K25))</f>
        <v/>
      </c>
      <c r="C25" s="89" t="str">
        <f>IF($K25="","",INDEX(Autodiagnostic!$B$1:$B$78,$K25))</f>
        <v/>
      </c>
      <c r="D25" s="89" t="str">
        <f>IF($K25="","",INDEX(Autodiagnostic!$D$1:$D$78,$K25))</f>
        <v/>
      </c>
      <c r="E25" s="89" t="str">
        <f>IF($K25="","",INDEX(Autodiagnostic!$I$1:$I$78,$K25))</f>
        <v/>
      </c>
      <c r="F25" s="89" t="str">
        <f>IF($K25="","",INDEX(Autodiagnostic!$F$1:$F$78,$K25))</f>
        <v/>
      </c>
      <c r="G25" s="89" t="str">
        <f>IF($K25="","",INDEX(Autodiagnostic!$G$1:$G$78,$K25))</f>
        <v/>
      </c>
      <c r="H25" s="89" t="str">
        <f>IF($K25="","",INDEX(Autodiagnostic!$H$1:$H$78,$K25))</f>
        <v/>
      </c>
      <c r="K25" s="5" t="str">
        <f>IFERROR(MOD(SMALL($L$5:$L$81,21),1000),"")</f>
        <v/>
      </c>
      <c r="L25" s="5" t="str">
        <f>IF(Autodiagnostic!I24="","",24)</f>
        <v/>
      </c>
    </row>
    <row r="26" spans="1:12" ht="30.75" customHeight="1">
      <c r="A26" s="89" t="str">
        <f>IF($K26="","",22)</f>
        <v/>
      </c>
      <c r="B26" s="89" t="str">
        <f>IF($K26="","",INDEX(Autodiagnostic!$A$1:$A$78,$K26))</f>
        <v/>
      </c>
      <c r="C26" s="89" t="str">
        <f>IF($K26="","",INDEX(Autodiagnostic!$B$1:$B$78,$K26))</f>
        <v/>
      </c>
      <c r="D26" s="89" t="str">
        <f>IF($K26="","",INDEX(Autodiagnostic!$D$1:$D$78,$K26))</f>
        <v/>
      </c>
      <c r="E26" s="89" t="str">
        <f>IF($K26="","",INDEX(Autodiagnostic!$I$1:$I$78,$K26))</f>
        <v/>
      </c>
      <c r="F26" s="89" t="str">
        <f>IF($K26="","",INDEX(Autodiagnostic!$F$1:$F$78,$K26))</f>
        <v/>
      </c>
      <c r="G26" s="89" t="str">
        <f>IF($K26="","",INDEX(Autodiagnostic!$G$1:$G$78,$K26))</f>
        <v/>
      </c>
      <c r="H26" s="89" t="str">
        <f>IF($K26="","",INDEX(Autodiagnostic!$H$1:$H$78,$K26))</f>
        <v/>
      </c>
      <c r="K26" s="5" t="str">
        <f>IFERROR(MOD(SMALL($L$5:$L$81,22),1000),"")</f>
        <v/>
      </c>
      <c r="L26" s="5" t="str">
        <f>IF(Autodiagnostic!I25="","",25)</f>
        <v/>
      </c>
    </row>
    <row r="27" spans="1:12" ht="30.75" customHeight="1">
      <c r="A27" s="89" t="str">
        <f>IF($K27="","",23)</f>
        <v/>
      </c>
      <c r="B27" s="89" t="str">
        <f>IF($K27="","",INDEX(Autodiagnostic!$A$1:$A$78,$K27))</f>
        <v/>
      </c>
      <c r="C27" s="89" t="str">
        <f>IF($K27="","",INDEX(Autodiagnostic!$B$1:$B$78,$K27))</f>
        <v/>
      </c>
      <c r="D27" s="89" t="str">
        <f>IF($K27="","",INDEX(Autodiagnostic!$D$1:$D$78,$K27))</f>
        <v/>
      </c>
      <c r="E27" s="89" t="str">
        <f>IF($K27="","",INDEX(Autodiagnostic!$I$1:$I$78,$K27))</f>
        <v/>
      </c>
      <c r="F27" s="89" t="str">
        <f>IF($K27="","",INDEX(Autodiagnostic!$F$1:$F$78,$K27))</f>
        <v/>
      </c>
      <c r="G27" s="89" t="str">
        <f>IF($K27="","",INDEX(Autodiagnostic!$G$1:$G$78,$K27))</f>
        <v/>
      </c>
      <c r="H27" s="89" t="str">
        <f>IF($K27="","",INDEX(Autodiagnostic!$H$1:$H$78,$K27))</f>
        <v/>
      </c>
      <c r="K27" s="5" t="str">
        <f>IFERROR(MOD(SMALL($L$5:$L$81,23),1000),"")</f>
        <v/>
      </c>
      <c r="L27" s="5" t="str">
        <f>IF(Autodiagnostic!I22="","",22)</f>
        <v/>
      </c>
    </row>
    <row r="28" spans="1:12" ht="30.75" customHeight="1">
      <c r="A28" s="89" t="str">
        <f>IF($K28="","",24)</f>
        <v/>
      </c>
      <c r="B28" s="89" t="str">
        <f>IF($K28="","",INDEX(Autodiagnostic!$A$1:$A$78,$K28))</f>
        <v/>
      </c>
      <c r="C28" s="89" t="str">
        <f>IF($K28="","",INDEX(Autodiagnostic!$B$1:$B$78,$K28))</f>
        <v/>
      </c>
      <c r="D28" s="89" t="str">
        <f>IF($K28="","",INDEX(Autodiagnostic!$D$1:$D$78,$K28))</f>
        <v/>
      </c>
      <c r="E28" s="89" t="str">
        <f>IF($K28="","",INDEX(Autodiagnostic!$I$1:$I$78,$K28))</f>
        <v/>
      </c>
      <c r="F28" s="89" t="str">
        <f>IF($K28="","",INDEX(Autodiagnostic!$F$1:$F$78,$K28))</f>
        <v/>
      </c>
      <c r="G28" s="89" t="str">
        <f>IF($K28="","",INDEX(Autodiagnostic!$G$1:$G$78,$K28))</f>
        <v/>
      </c>
      <c r="H28" s="89" t="str">
        <f>IF($K28="","",INDEX(Autodiagnostic!$H$1:$H$78,$K28))</f>
        <v/>
      </c>
      <c r="K28" s="5" t="str">
        <f>IFERROR(MOD(SMALL($L$5:$L$81,24),1000),"")</f>
        <v/>
      </c>
      <c r="L28" s="5" t="str">
        <f>IF(Autodiagnostic!I23="","",23)</f>
        <v/>
      </c>
    </row>
    <row r="29" spans="1:12" ht="30.75" customHeight="1">
      <c r="A29" s="89" t="str">
        <f>IF($K29="","",25)</f>
        <v/>
      </c>
      <c r="B29" s="89" t="str">
        <f>IF($K29="","",INDEX(Autodiagnostic!$A$1:$A$78,$K29))</f>
        <v/>
      </c>
      <c r="C29" s="89" t="str">
        <f>IF($K29="","",INDEX(Autodiagnostic!$B$1:$B$78,$K29))</f>
        <v/>
      </c>
      <c r="D29" s="89" t="str">
        <f>IF($K29="","",INDEX(Autodiagnostic!$D$1:$D$78,$K29))</f>
        <v/>
      </c>
      <c r="E29" s="89" t="str">
        <f>IF($K29="","",INDEX(Autodiagnostic!$I$1:$I$78,$K29))</f>
        <v/>
      </c>
      <c r="F29" s="89" t="str">
        <f>IF($K29="","",INDEX(Autodiagnostic!$F$1:$F$78,$K29))</f>
        <v/>
      </c>
      <c r="G29" s="89" t="str">
        <f>IF($K29="","",INDEX(Autodiagnostic!$G$1:$G$78,$K29))</f>
        <v/>
      </c>
      <c r="H29" s="89" t="str">
        <f>IF($K29="","",INDEX(Autodiagnostic!$H$1:$H$78,$K29))</f>
        <v/>
      </c>
      <c r="K29" s="5" t="str">
        <f>IFERROR(MOD(SMALL($L$5:$L$81,25),1000),"")</f>
        <v/>
      </c>
      <c r="L29" s="5" t="str">
        <f>IF(Autodiagnostic!I26="","",26)</f>
        <v/>
      </c>
    </row>
    <row r="30" spans="1:12" ht="30.75" customHeight="1">
      <c r="A30" s="89" t="str">
        <f>IF($K30="","",26)</f>
        <v/>
      </c>
      <c r="B30" s="89" t="str">
        <f>IF($K30="","",INDEX(Autodiagnostic!$A$1:$A$78,$K30))</f>
        <v/>
      </c>
      <c r="C30" s="89" t="str">
        <f>IF($K30="","",INDEX(Autodiagnostic!$B$1:$B$78,$K30))</f>
        <v/>
      </c>
      <c r="D30" s="89" t="str">
        <f>IF($K30="","",INDEX(Autodiagnostic!$D$1:$D$78,$K30))</f>
        <v/>
      </c>
      <c r="E30" s="89" t="str">
        <f>IF($K30="","",INDEX(Autodiagnostic!$I$1:$I$78,$K30))</f>
        <v/>
      </c>
      <c r="F30" s="89" t="str">
        <f>IF($K30="","",INDEX(Autodiagnostic!$F$1:$F$78,$K30))</f>
        <v/>
      </c>
      <c r="G30" s="89" t="str">
        <f>IF($K30="","",INDEX(Autodiagnostic!$G$1:$G$78,$K30))</f>
        <v/>
      </c>
      <c r="H30" s="89" t="str">
        <f>IF($K30="","",INDEX(Autodiagnostic!$H$1:$H$78,$K30))</f>
        <v/>
      </c>
      <c r="K30" s="5" t="str">
        <f>IFERROR(MOD(SMALL($L$5:$L$81,26),1000),"")</f>
        <v/>
      </c>
      <c r="L30" s="5" t="str">
        <f>IF(Autodiagnostic!I27="","",27)</f>
        <v/>
      </c>
    </row>
    <row r="31" spans="1:12" ht="30.75" customHeight="1">
      <c r="A31" s="89" t="str">
        <f>IF($K31="","",27)</f>
        <v/>
      </c>
      <c r="B31" s="89" t="str">
        <f>IF($K31="","",INDEX(Autodiagnostic!$A$1:$A$78,$K31))</f>
        <v/>
      </c>
      <c r="C31" s="89" t="str">
        <f>IF($K31="","",INDEX(Autodiagnostic!$B$1:$B$78,$K31))</f>
        <v/>
      </c>
      <c r="D31" s="89" t="str">
        <f>IF($K31="","",INDEX(Autodiagnostic!$D$1:$D$78,$K31))</f>
        <v/>
      </c>
      <c r="E31" s="89" t="str">
        <f>IF($K31="","",INDEX(Autodiagnostic!$I$1:$I$78,$K31))</f>
        <v/>
      </c>
      <c r="F31" s="89" t="str">
        <f>IF($K31="","",INDEX(Autodiagnostic!$F$1:$F$78,$K31))</f>
        <v/>
      </c>
      <c r="G31" s="89" t="str">
        <f>IF($K31="","",INDEX(Autodiagnostic!$G$1:$G$78,$K31))</f>
        <v/>
      </c>
      <c r="H31" s="89" t="str">
        <f>IF($K31="","",INDEX(Autodiagnostic!$H$1:$H$78,$K31))</f>
        <v/>
      </c>
      <c r="K31" s="5" t="str">
        <f>IFERROR(MOD(SMALL($L$5:$L$81,27),1000),"")</f>
        <v/>
      </c>
      <c r="L31" s="5" t="str">
        <f>IF(Autodiagnostic!I28="","",28)</f>
        <v/>
      </c>
    </row>
    <row r="32" spans="1:12" ht="30.75" customHeight="1">
      <c r="A32" s="89" t="str">
        <f>IF($K32="","",28)</f>
        <v/>
      </c>
      <c r="B32" s="89" t="str">
        <f>IF($K32="","",INDEX(Autodiagnostic!$A$1:$A$78,$K32))</f>
        <v/>
      </c>
      <c r="C32" s="89" t="str">
        <f>IF($K32="","",INDEX(Autodiagnostic!$B$1:$B$78,$K32))</f>
        <v/>
      </c>
      <c r="D32" s="89" t="str">
        <f>IF($K32="","",INDEX(Autodiagnostic!$D$1:$D$78,$K32))</f>
        <v/>
      </c>
      <c r="E32" s="89" t="str">
        <f>IF($K32="","",INDEX(Autodiagnostic!$I$1:$I$78,$K32))</f>
        <v/>
      </c>
      <c r="F32" s="89" t="str">
        <f>IF($K32="","",INDEX(Autodiagnostic!$F$1:$F$78,$K32))</f>
        <v/>
      </c>
      <c r="G32" s="89" t="str">
        <f>IF($K32="","",INDEX(Autodiagnostic!$G$1:$G$78,$K32))</f>
        <v/>
      </c>
      <c r="H32" s="89" t="str">
        <f>IF($K32="","",INDEX(Autodiagnostic!$H$1:$H$78,$K32))</f>
        <v/>
      </c>
      <c r="K32" s="5" t="str">
        <f>IFERROR(MOD(SMALL($L$5:$L$81,28),1000),"")</f>
        <v/>
      </c>
      <c r="L32" s="5" t="str">
        <f>IF(Autodiagnostic!I29="","",29)</f>
        <v/>
      </c>
    </row>
    <row r="33" spans="1:12" ht="30.75" customHeight="1">
      <c r="A33" s="89" t="str">
        <f>IF($K33="","",29)</f>
        <v/>
      </c>
      <c r="B33" s="89" t="str">
        <f>IF($K33="","",INDEX(Autodiagnostic!$A$1:$A$78,$K33))</f>
        <v/>
      </c>
      <c r="C33" s="89" t="str">
        <f>IF($K33="","",INDEX(Autodiagnostic!$B$1:$B$78,$K33))</f>
        <v/>
      </c>
      <c r="D33" s="89" t="str">
        <f>IF($K33="","",INDEX(Autodiagnostic!$D$1:$D$78,$K33))</f>
        <v/>
      </c>
      <c r="E33" s="89" t="str">
        <f>IF($K33="","",INDEX(Autodiagnostic!$I$1:$I$78,$K33))</f>
        <v/>
      </c>
      <c r="F33" s="89" t="str">
        <f>IF($K33="","",INDEX(Autodiagnostic!$F$1:$F$78,$K33))</f>
        <v/>
      </c>
      <c r="G33" s="89" t="str">
        <f>IF($K33="","",INDEX(Autodiagnostic!$G$1:$G$78,$K33))</f>
        <v/>
      </c>
      <c r="H33" s="89" t="str">
        <f>IF($K33="","",INDEX(Autodiagnostic!$H$1:$H$78,$K33))</f>
        <v/>
      </c>
      <c r="K33" s="5" t="str">
        <f>IFERROR(MOD(SMALL($L$5:$L$81,29),1000),"")</f>
        <v/>
      </c>
      <c r="L33" s="5" t="str">
        <f>IF(Autodiagnostic!I30="","",30)</f>
        <v/>
      </c>
    </row>
    <row r="34" spans="1:12" ht="30.75" customHeight="1">
      <c r="A34" s="89" t="str">
        <f>IF($K34="","",30)</f>
        <v/>
      </c>
      <c r="B34" s="89" t="str">
        <f>IF($K34="","",INDEX(Autodiagnostic!$A$1:$A$78,$K34))</f>
        <v/>
      </c>
      <c r="C34" s="89" t="str">
        <f>IF($K34="","",INDEX(Autodiagnostic!$B$1:$B$78,$K34))</f>
        <v/>
      </c>
      <c r="D34" s="89" t="str">
        <f>IF($K34="","",INDEX(Autodiagnostic!$D$1:$D$78,$K34))</f>
        <v/>
      </c>
      <c r="E34" s="89" t="str">
        <f>IF($K34="","",INDEX(Autodiagnostic!$I$1:$I$78,$K34))</f>
        <v/>
      </c>
      <c r="F34" s="89" t="str">
        <f>IF($K34="","",INDEX(Autodiagnostic!$F$1:$F$78,$K34))</f>
        <v/>
      </c>
      <c r="G34" s="89" t="str">
        <f>IF($K34="","",INDEX(Autodiagnostic!$G$1:$G$78,$K34))</f>
        <v/>
      </c>
      <c r="H34" s="89" t="str">
        <f>IF($K34="","",INDEX(Autodiagnostic!$H$1:$H$78,$K34))</f>
        <v/>
      </c>
      <c r="K34" s="5" t="str">
        <f>IFERROR(MOD(SMALL($L$5:$L$81,30),1000),"")</f>
        <v/>
      </c>
      <c r="L34" s="5" t="str">
        <f>IF(Autodiagnostic!I31="","",31)</f>
        <v/>
      </c>
    </row>
    <row r="35" spans="1:12" ht="30.75" customHeight="1">
      <c r="A35" s="89" t="str">
        <f>IF($K35="","",31)</f>
        <v/>
      </c>
      <c r="B35" s="89" t="str">
        <f>IF($K35="","",INDEX(Autodiagnostic!$A$1:$A$78,$K35))</f>
        <v/>
      </c>
      <c r="C35" s="89" t="str">
        <f>IF($K35="","",INDEX(Autodiagnostic!$B$1:$B$78,$K35))</f>
        <v/>
      </c>
      <c r="D35" s="89" t="str">
        <f>IF($K35="","",INDEX(Autodiagnostic!$D$1:$D$78,$K35))</f>
        <v/>
      </c>
      <c r="E35" s="89" t="str">
        <f>IF($K35="","",INDEX(Autodiagnostic!$I$1:$I$78,$K35))</f>
        <v/>
      </c>
      <c r="F35" s="89" t="str">
        <f>IF($K35="","",INDEX(Autodiagnostic!$F$1:$F$78,$K35))</f>
        <v/>
      </c>
      <c r="G35" s="89" t="str">
        <f>IF($K35="","",INDEX(Autodiagnostic!$G$1:$G$78,$K35))</f>
        <v/>
      </c>
      <c r="H35" s="89" t="str">
        <f>IF($K35="","",INDEX(Autodiagnostic!$H$1:$H$78,$K35))</f>
        <v/>
      </c>
      <c r="K35" s="5" t="str">
        <f>IFERROR(MOD(SMALL($L$5:$L$81,31),1000),"")</f>
        <v/>
      </c>
      <c r="L35" s="5" t="str">
        <f>IF(Autodiagnostic!I32="","",32)</f>
        <v/>
      </c>
    </row>
    <row r="36" spans="1:12" ht="30.75" customHeight="1">
      <c r="A36" s="89" t="str">
        <f>IF($K36="","",32)</f>
        <v/>
      </c>
      <c r="B36" s="89" t="str">
        <f>IF($K36="","",INDEX(Autodiagnostic!$A$1:$A$78,$K36))</f>
        <v/>
      </c>
      <c r="C36" s="89" t="str">
        <f>IF($K36="","",INDEX(Autodiagnostic!$B$1:$B$78,$K36))</f>
        <v/>
      </c>
      <c r="D36" s="89" t="str">
        <f>IF($K36="","",INDEX(Autodiagnostic!$D$1:$D$78,$K36))</f>
        <v/>
      </c>
      <c r="E36" s="89" t="str">
        <f>IF($K36="","",INDEX(Autodiagnostic!$I$1:$I$78,$K36))</f>
        <v/>
      </c>
      <c r="F36" s="89" t="str">
        <f>IF($K36="","",INDEX(Autodiagnostic!$F$1:$F$78,$K36))</f>
        <v/>
      </c>
      <c r="G36" s="89" t="str">
        <f>IF($K36="","",INDEX(Autodiagnostic!$G$1:$G$78,$K36))</f>
        <v/>
      </c>
      <c r="H36" s="89" t="str">
        <f>IF($K36="","",INDEX(Autodiagnostic!$H$1:$H$78,$K36))</f>
        <v/>
      </c>
      <c r="K36" s="5" t="str">
        <f>IFERROR(MOD(SMALL($L$5:$L$81,32),1000),"")</f>
        <v/>
      </c>
      <c r="L36" s="5" t="str">
        <f>IF(Autodiagnostic!I33="","",33)</f>
        <v/>
      </c>
    </row>
    <row r="37" spans="1:12" ht="30.75" customHeight="1">
      <c r="A37" s="89" t="str">
        <f>IF($K37="","",33)</f>
        <v/>
      </c>
      <c r="B37" s="89" t="str">
        <f>IF($K37="","",INDEX(Autodiagnostic!$A$1:$A$78,$K37))</f>
        <v/>
      </c>
      <c r="C37" s="89" t="str">
        <f>IF($K37="","",INDEX(Autodiagnostic!$B$1:$B$78,$K37))</f>
        <v/>
      </c>
      <c r="D37" s="89" t="str">
        <f>IF($K37="","",INDEX(Autodiagnostic!$D$1:$D$78,$K37))</f>
        <v/>
      </c>
      <c r="E37" s="89" t="str">
        <f>IF($K37="","",INDEX(Autodiagnostic!$I$1:$I$78,$K37))</f>
        <v/>
      </c>
      <c r="F37" s="89" t="str">
        <f>IF($K37="","",INDEX(Autodiagnostic!$F$1:$F$78,$K37))</f>
        <v/>
      </c>
      <c r="G37" s="89" t="str">
        <f>IF($K37="","",INDEX(Autodiagnostic!$G$1:$G$78,$K37))</f>
        <v/>
      </c>
      <c r="H37" s="89" t="str">
        <f>IF($K37="","",INDEX(Autodiagnostic!$H$1:$H$78,$K37))</f>
        <v/>
      </c>
      <c r="K37" s="5" t="str">
        <f>IFERROR(MOD(SMALL($L$5:$L$81,33),1000),"")</f>
        <v/>
      </c>
      <c r="L37" s="5" t="str">
        <f>IF(Autodiagnostic!I34="","",34)</f>
        <v/>
      </c>
    </row>
    <row r="38" spans="1:12" ht="30.75" customHeight="1">
      <c r="A38" s="89" t="str">
        <f>IF($K38="","",34)</f>
        <v/>
      </c>
      <c r="B38" s="89" t="str">
        <f>IF($K38="","",INDEX(Autodiagnostic!$A$1:$A$78,$K38))</f>
        <v/>
      </c>
      <c r="C38" s="89" t="str">
        <f>IF($K38="","",INDEX(Autodiagnostic!$B$1:$B$78,$K38))</f>
        <v/>
      </c>
      <c r="D38" s="89" t="str">
        <f>IF($K38="","",INDEX(Autodiagnostic!$D$1:$D$78,$K38))</f>
        <v/>
      </c>
      <c r="E38" s="89" t="str">
        <f>IF($K38="","",INDEX(Autodiagnostic!$I$1:$I$78,$K38))</f>
        <v/>
      </c>
      <c r="F38" s="89" t="str">
        <f>IF($K38="","",INDEX(Autodiagnostic!$F$1:$F$78,$K38))</f>
        <v/>
      </c>
      <c r="G38" s="89" t="str">
        <f>IF($K38="","",INDEX(Autodiagnostic!$G$1:$G$78,$K38))</f>
        <v/>
      </c>
      <c r="H38" s="89" t="str">
        <f>IF($K38="","",INDEX(Autodiagnostic!$H$1:$H$78,$K38))</f>
        <v/>
      </c>
      <c r="K38" s="5" t="str">
        <f>IFERROR(MOD(SMALL($L$5:$L$81,34),1000),"")</f>
        <v/>
      </c>
      <c r="L38" s="5" t="str">
        <f>IF(Autodiagnostic!I35="","",35)</f>
        <v/>
      </c>
    </row>
    <row r="39" spans="1:12" ht="30.75" customHeight="1">
      <c r="A39" s="89" t="str">
        <f>IF($K39="","",35)</f>
        <v/>
      </c>
      <c r="B39" s="89" t="str">
        <f>IF($K39="","",INDEX(Autodiagnostic!$A$1:$A$78,$K39))</f>
        <v/>
      </c>
      <c r="C39" s="89" t="str">
        <f>IF($K39="","",INDEX(Autodiagnostic!$B$1:$B$78,$K39))</f>
        <v/>
      </c>
      <c r="D39" s="89" t="str">
        <f>IF($K39="","",INDEX(Autodiagnostic!$D$1:$D$78,$K39))</f>
        <v/>
      </c>
      <c r="E39" s="89" t="str">
        <f>IF($K39="","",INDEX(Autodiagnostic!$I$1:$I$78,$K39))</f>
        <v/>
      </c>
      <c r="F39" s="89" t="str">
        <f>IF($K39="","",INDEX(Autodiagnostic!$F$1:$F$78,$K39))</f>
        <v/>
      </c>
      <c r="G39" s="89" t="str">
        <f>IF($K39="","",INDEX(Autodiagnostic!$G$1:$G$78,$K39))</f>
        <v/>
      </c>
      <c r="H39" s="89" t="str">
        <f>IF($K39="","",INDEX(Autodiagnostic!$H$1:$H$78,$K39))</f>
        <v/>
      </c>
      <c r="K39" s="5" t="str">
        <f>IFERROR(MOD(SMALL($L$5:$L$81,35),1000),"")</f>
        <v/>
      </c>
      <c r="L39" s="5" t="str">
        <f>IF(Autodiagnostic!I36="","",36)</f>
        <v/>
      </c>
    </row>
    <row r="40" spans="1:12" ht="30.75" customHeight="1">
      <c r="A40" s="89" t="str">
        <f>IF($K40="","",36)</f>
        <v/>
      </c>
      <c r="B40" s="89" t="str">
        <f>IF($K40="","",INDEX(Autodiagnostic!$A$1:$A$78,$K40))</f>
        <v/>
      </c>
      <c r="C40" s="89" t="str">
        <f>IF($K40="","",INDEX(Autodiagnostic!$B$1:$B$78,$K40))</f>
        <v/>
      </c>
      <c r="D40" s="89" t="str">
        <f>IF($K40="","",INDEX(Autodiagnostic!$D$1:$D$78,$K40))</f>
        <v/>
      </c>
      <c r="E40" s="89" t="str">
        <f>IF($K40="","",INDEX(Autodiagnostic!$I$1:$I$78,$K40))</f>
        <v/>
      </c>
      <c r="F40" s="89" t="str">
        <f>IF($K40="","",INDEX(Autodiagnostic!$F$1:$F$78,$K40))</f>
        <v/>
      </c>
      <c r="G40" s="89" t="str">
        <f>IF($K40="","",INDEX(Autodiagnostic!$G$1:$G$78,$K40))</f>
        <v/>
      </c>
      <c r="H40" s="89" t="str">
        <f>IF($K40="","",INDEX(Autodiagnostic!$H$1:$H$78,$K40))</f>
        <v/>
      </c>
      <c r="K40" s="5" t="str">
        <f>IFERROR(MOD(SMALL($L$5:$L$81,36),1000),"")</f>
        <v/>
      </c>
      <c r="L40" s="5" t="str">
        <f>IF(Autodiagnostic!I42="","",42)</f>
        <v/>
      </c>
    </row>
    <row r="41" spans="1:12" ht="30.75" customHeight="1">
      <c r="A41" s="89" t="str">
        <f>IF($K41="","",37)</f>
        <v/>
      </c>
      <c r="B41" s="89" t="str">
        <f>IF($K41="","",INDEX(Autodiagnostic!$A$1:$A$78,$K41))</f>
        <v/>
      </c>
      <c r="C41" s="89" t="str">
        <f>IF($K41="","",INDEX(Autodiagnostic!$B$1:$B$78,$K41))</f>
        <v/>
      </c>
      <c r="D41" s="89" t="str">
        <f>IF($K41="","",INDEX(Autodiagnostic!$D$1:$D$78,$K41))</f>
        <v/>
      </c>
      <c r="E41" s="89" t="str">
        <f>IF($K41="","",INDEX(Autodiagnostic!$I$1:$I$78,$K41))</f>
        <v/>
      </c>
      <c r="F41" s="89" t="str">
        <f>IF($K41="","",INDEX(Autodiagnostic!$F$1:$F$78,$K41))</f>
        <v/>
      </c>
      <c r="G41" s="89" t="str">
        <f>IF($K41="","",INDEX(Autodiagnostic!$G$1:$G$78,$K41))</f>
        <v/>
      </c>
      <c r="H41" s="89" t="str">
        <f>IF($K41="","",INDEX(Autodiagnostic!$H$1:$H$78,$K41))</f>
        <v/>
      </c>
      <c r="K41" s="5" t="str">
        <f>IFERROR(MOD(SMALL($L$5:$L$81,37),1000),"")</f>
        <v/>
      </c>
      <c r="L41" s="5" t="str">
        <f>IF(Autodiagnostic!I37="","",37)</f>
        <v/>
      </c>
    </row>
    <row r="42" spans="1:12" ht="30.75" customHeight="1">
      <c r="A42" s="89" t="str">
        <f>IF($K42="","",38)</f>
        <v/>
      </c>
      <c r="B42" s="89" t="str">
        <f>IF($K42="","",INDEX(Autodiagnostic!$A$1:$A$78,$K42))</f>
        <v/>
      </c>
      <c r="C42" s="89" t="str">
        <f>IF($K42="","",INDEX(Autodiagnostic!$B$1:$B$78,$K42))</f>
        <v/>
      </c>
      <c r="D42" s="89" t="str">
        <f>IF($K42="","",INDEX(Autodiagnostic!$D$1:$D$78,$K42))</f>
        <v/>
      </c>
      <c r="E42" s="89" t="str">
        <f>IF($K42="","",INDEX(Autodiagnostic!$I$1:$I$78,$K42))</f>
        <v/>
      </c>
      <c r="F42" s="89" t="str">
        <f>IF($K42="","",INDEX(Autodiagnostic!$F$1:$F$78,$K42))</f>
        <v/>
      </c>
      <c r="G42" s="89" t="str">
        <f>IF($K42="","",INDEX(Autodiagnostic!$G$1:$G$78,$K42))</f>
        <v/>
      </c>
      <c r="H42" s="89" t="str">
        <f>IF($K42="","",INDEX(Autodiagnostic!$H$1:$H$78,$K42))</f>
        <v/>
      </c>
      <c r="K42" s="5" t="str">
        <f>IFERROR(MOD(SMALL($L$5:$L$81,38),1000),"")</f>
        <v/>
      </c>
      <c r="L42" s="5" t="str">
        <f>IF(Autodiagnostic!I38="","",38)</f>
        <v/>
      </c>
    </row>
    <row r="43" spans="1:12" ht="30.75" customHeight="1">
      <c r="A43" s="89" t="str">
        <f>IF($K43="","",39)</f>
        <v/>
      </c>
      <c r="B43" s="89" t="str">
        <f>IF($K43="","",INDEX(Autodiagnostic!$A$1:$A$78,$K43))</f>
        <v/>
      </c>
      <c r="C43" s="89" t="str">
        <f>IF($K43="","",INDEX(Autodiagnostic!$B$1:$B$78,$K43))</f>
        <v/>
      </c>
      <c r="D43" s="89" t="str">
        <f>IF($K43="","",INDEX(Autodiagnostic!$D$1:$D$78,$K43))</f>
        <v/>
      </c>
      <c r="E43" s="89" t="str">
        <f>IF($K43="","",INDEX(Autodiagnostic!$I$1:$I$78,$K43))</f>
        <v/>
      </c>
      <c r="F43" s="89" t="str">
        <f>IF($K43="","",INDEX(Autodiagnostic!$F$1:$F$78,$K43))</f>
        <v/>
      </c>
      <c r="G43" s="89" t="str">
        <f>IF($K43="","",INDEX(Autodiagnostic!$G$1:$G$78,$K43))</f>
        <v/>
      </c>
      <c r="H43" s="89" t="str">
        <f>IF($K43="","",INDEX(Autodiagnostic!$H$1:$H$78,$K43))</f>
        <v/>
      </c>
      <c r="K43" s="5" t="str">
        <f>IFERROR(MOD(SMALL($L$5:$L$81,39),1000),"")</f>
        <v/>
      </c>
      <c r="L43" s="5" t="str">
        <f>IF(Autodiagnostic!I39="","",39)</f>
        <v/>
      </c>
    </row>
    <row r="44" spans="1:12" ht="30.75" customHeight="1">
      <c r="A44" s="89" t="str">
        <f>IF($K44="","",40)</f>
        <v/>
      </c>
      <c r="B44" s="89" t="str">
        <f>IF($K44="","",INDEX(Autodiagnostic!$A$1:$A$78,$K44))</f>
        <v/>
      </c>
      <c r="C44" s="89" t="str">
        <f>IF($K44="","",INDEX(Autodiagnostic!$B$1:$B$78,$K44))</f>
        <v/>
      </c>
      <c r="D44" s="89" t="str">
        <f>IF($K44="","",INDEX(Autodiagnostic!$D$1:$D$78,$K44))</f>
        <v/>
      </c>
      <c r="E44" s="89" t="str">
        <f>IF($K44="","",INDEX(Autodiagnostic!$I$1:$I$78,$K44))</f>
        <v/>
      </c>
      <c r="F44" s="89" t="str">
        <f>IF($K44="","",INDEX(Autodiagnostic!$F$1:$F$78,$K44))</f>
        <v/>
      </c>
      <c r="G44" s="89" t="str">
        <f>IF($K44="","",INDEX(Autodiagnostic!$G$1:$G$78,$K44))</f>
        <v/>
      </c>
      <c r="H44" s="89" t="str">
        <f>IF($K44="","",INDEX(Autodiagnostic!$H$1:$H$78,$K44))</f>
        <v/>
      </c>
      <c r="K44" s="5" t="str">
        <f>IFERROR(MOD(SMALL($L$5:$L$81,40),1000),"")</f>
        <v/>
      </c>
      <c r="L44" s="5" t="str">
        <f>IF(Autodiagnostic!I40="","",40)</f>
        <v/>
      </c>
    </row>
    <row r="45" spans="1:12" ht="30.75" customHeight="1">
      <c r="A45" s="89" t="str">
        <f>IF($K45="","",41)</f>
        <v/>
      </c>
      <c r="B45" s="89" t="str">
        <f>IF($K45="","",INDEX(Autodiagnostic!$A$1:$A$78,$K45))</f>
        <v/>
      </c>
      <c r="C45" s="89" t="str">
        <f>IF($K45="","",INDEX(Autodiagnostic!$B$1:$B$78,$K45))</f>
        <v/>
      </c>
      <c r="D45" s="89" t="str">
        <f>IF($K45="","",INDEX(Autodiagnostic!$D$1:$D$78,$K45))</f>
        <v/>
      </c>
      <c r="E45" s="89" t="str">
        <f>IF($K45="","",INDEX(Autodiagnostic!$I$1:$I$78,$K45))</f>
        <v/>
      </c>
      <c r="F45" s="89" t="str">
        <f>IF($K45="","",INDEX(Autodiagnostic!$F$1:$F$78,$K45))</f>
        <v/>
      </c>
      <c r="G45" s="89" t="str">
        <f>IF($K45="","",INDEX(Autodiagnostic!$G$1:$G$78,$K45))</f>
        <v/>
      </c>
      <c r="H45" s="89" t="str">
        <f>IF($K45="","",INDEX(Autodiagnostic!$H$1:$H$78,$K45))</f>
        <v/>
      </c>
      <c r="K45" s="5" t="str">
        <f>IFERROR(MOD(SMALL($L$5:$L$81,41),1000),"")</f>
        <v/>
      </c>
      <c r="L45" s="5" t="str">
        <f>IF(Autodiagnostic!I41="","",41)</f>
        <v/>
      </c>
    </row>
    <row r="46" spans="1:12" ht="30.75" customHeight="1">
      <c r="A46" s="89" t="str">
        <f>IF($K46="","",42)</f>
        <v/>
      </c>
      <c r="B46" s="89" t="str">
        <f>IF($K46="","",INDEX(Autodiagnostic!$A$1:$A$78,$K46))</f>
        <v/>
      </c>
      <c r="C46" s="89" t="str">
        <f>IF($K46="","",INDEX(Autodiagnostic!$B$1:$B$78,$K46))</f>
        <v/>
      </c>
      <c r="D46" s="89" t="str">
        <f>IF($K46="","",INDEX(Autodiagnostic!$D$1:$D$78,$K46))</f>
        <v/>
      </c>
      <c r="E46" s="89" t="str">
        <f>IF($K46="","",INDEX(Autodiagnostic!$I$1:$I$78,$K46))</f>
        <v/>
      </c>
      <c r="F46" s="89" t="str">
        <f>IF($K46="","",INDEX(Autodiagnostic!$F$1:$F$78,$K46))</f>
        <v/>
      </c>
      <c r="G46" s="89" t="str">
        <f>IF($K46="","",INDEX(Autodiagnostic!$G$1:$G$78,$K46))</f>
        <v/>
      </c>
      <c r="H46" s="89" t="str">
        <f>IF($K46="","",INDEX(Autodiagnostic!$H$1:$H$78,$K46))</f>
        <v/>
      </c>
      <c r="K46" s="5" t="str">
        <f>IFERROR(MOD(SMALL($L$5:$L$81,42),1000),"")</f>
        <v/>
      </c>
      <c r="L46" s="5" t="str">
        <f>IF(Autodiagnostic!I44="","",44)</f>
        <v/>
      </c>
    </row>
    <row r="47" spans="1:12" ht="30.75" customHeight="1">
      <c r="A47" s="89" t="str">
        <f>IF($K47="","",43)</f>
        <v/>
      </c>
      <c r="B47" s="89" t="str">
        <f>IF($K47="","",INDEX(Autodiagnostic!$A$1:$A$78,$K47))</f>
        <v/>
      </c>
      <c r="C47" s="89" t="str">
        <f>IF($K47="","",INDEX(Autodiagnostic!$B$1:$B$78,$K47))</f>
        <v/>
      </c>
      <c r="D47" s="89" t="str">
        <f>IF($K47="","",INDEX(Autodiagnostic!$D$1:$D$78,$K47))</f>
        <v/>
      </c>
      <c r="E47" s="89" t="str">
        <f>IF($K47="","",INDEX(Autodiagnostic!$I$1:$I$78,$K47))</f>
        <v/>
      </c>
      <c r="F47" s="89" t="str">
        <f>IF($K47="","",INDEX(Autodiagnostic!$F$1:$F$78,$K47))</f>
        <v/>
      </c>
      <c r="G47" s="89" t="str">
        <f>IF($K47="","",INDEX(Autodiagnostic!$G$1:$G$78,$K47))</f>
        <v/>
      </c>
      <c r="H47" s="89" t="str">
        <f>IF($K47="","",INDEX(Autodiagnostic!$H$1:$H$78,$K47))</f>
        <v/>
      </c>
      <c r="K47" s="5" t="str">
        <f>IFERROR(MOD(SMALL($L$5:$L$81,43),1000),"")</f>
        <v/>
      </c>
      <c r="L47" s="5" t="str">
        <f>IF(Autodiagnostic!I43="","",43)</f>
        <v/>
      </c>
    </row>
    <row r="48" spans="1:12" ht="30.75" customHeight="1">
      <c r="A48" s="89" t="str">
        <f>IF($K48="","",44)</f>
        <v/>
      </c>
      <c r="B48" s="89" t="str">
        <f>IF($K48="","",INDEX(Autodiagnostic!$A$1:$A$78,$K48))</f>
        <v/>
      </c>
      <c r="C48" s="89" t="str">
        <f>IF($K48="","",INDEX(Autodiagnostic!$B$1:$B$78,$K48))</f>
        <v/>
      </c>
      <c r="D48" s="89" t="str">
        <f>IF($K48="","",INDEX(Autodiagnostic!$D$1:$D$78,$K48))</f>
        <v/>
      </c>
      <c r="E48" s="89" t="str">
        <f>IF($K48="","",INDEX(Autodiagnostic!$I$1:$I$78,$K48))</f>
        <v/>
      </c>
      <c r="F48" s="89" t="str">
        <f>IF($K48="","",INDEX(Autodiagnostic!$F$1:$F$78,$K48))</f>
        <v/>
      </c>
      <c r="G48" s="89" t="str">
        <f>IF($K48="","",INDEX(Autodiagnostic!$G$1:$G$78,$K48))</f>
        <v/>
      </c>
      <c r="H48" s="89" t="str">
        <f>IF($K48="","",INDEX(Autodiagnostic!$H$1:$H$78,$K48))</f>
        <v/>
      </c>
      <c r="K48" s="5" t="str">
        <f>IFERROR(MOD(SMALL($L$5:$L$81,44),1000),"")</f>
        <v/>
      </c>
      <c r="L48" s="5" t="str">
        <f>IF(Autodiagnostic!I45="","",45)</f>
        <v/>
      </c>
    </row>
    <row r="49" spans="1:12" ht="30.75" customHeight="1">
      <c r="A49" s="89" t="str">
        <f>IF($K49="","",45)</f>
        <v/>
      </c>
      <c r="B49" s="89" t="str">
        <f>IF($K49="","",INDEX(Autodiagnostic!$A$1:$A$78,$K49))</f>
        <v/>
      </c>
      <c r="C49" s="89" t="str">
        <f>IF($K49="","",INDEX(Autodiagnostic!$B$1:$B$78,$K49))</f>
        <v/>
      </c>
      <c r="D49" s="89" t="str">
        <f>IF($K49="","",INDEX(Autodiagnostic!$D$1:$D$78,$K49))</f>
        <v/>
      </c>
      <c r="E49" s="89" t="str">
        <f>IF($K49="","",INDEX(Autodiagnostic!$I$1:$I$78,$K49))</f>
        <v/>
      </c>
      <c r="F49" s="89" t="str">
        <f>IF($K49="","",INDEX(Autodiagnostic!$F$1:$F$78,$K49))</f>
        <v/>
      </c>
      <c r="G49" s="89" t="str">
        <f>IF($K49="","",INDEX(Autodiagnostic!$G$1:$G$78,$K49))</f>
        <v/>
      </c>
      <c r="H49" s="89" t="str">
        <f>IF($K49="","",INDEX(Autodiagnostic!$H$1:$H$78,$K49))</f>
        <v/>
      </c>
      <c r="K49" s="5" t="str">
        <f>IFERROR(MOD(SMALL($L$5:$L$81,45),1000),"")</f>
        <v/>
      </c>
      <c r="L49" s="5" t="str">
        <f>IF(Autodiagnostic!I46="","",46)</f>
        <v/>
      </c>
    </row>
    <row r="50" spans="1:12" ht="30.75" customHeight="1">
      <c r="A50" s="89" t="str">
        <f>IF($K50="","",46)</f>
        <v/>
      </c>
      <c r="B50" s="89" t="str">
        <f>IF($K50="","",INDEX(Autodiagnostic!$A$1:$A$78,$K50))</f>
        <v/>
      </c>
      <c r="C50" s="89" t="str">
        <f>IF($K50="","",INDEX(Autodiagnostic!$B$1:$B$78,$K50))</f>
        <v/>
      </c>
      <c r="D50" s="89" t="str">
        <f>IF($K50="","",INDEX(Autodiagnostic!$D$1:$D$78,$K50))</f>
        <v/>
      </c>
      <c r="E50" s="89" t="str">
        <f>IF($K50="","",INDEX(Autodiagnostic!$I$1:$I$78,$K50))</f>
        <v/>
      </c>
      <c r="F50" s="89" t="str">
        <f>IF($K50="","",INDEX(Autodiagnostic!$F$1:$F$78,$K50))</f>
        <v/>
      </c>
      <c r="G50" s="89" t="str">
        <f>IF($K50="","",INDEX(Autodiagnostic!$G$1:$G$78,$K50))</f>
        <v/>
      </c>
      <c r="H50" s="89" t="str">
        <f>IF($K50="","",INDEX(Autodiagnostic!$H$1:$H$78,$K50))</f>
        <v/>
      </c>
      <c r="K50" s="5" t="str">
        <f>IFERROR(MOD(SMALL($L$5:$L$81,46),1000),"")</f>
        <v/>
      </c>
      <c r="L50" s="5" t="str">
        <f>IF(Autodiagnostic!I47="","",47)</f>
        <v/>
      </c>
    </row>
    <row r="51" spans="1:12" ht="30.75" customHeight="1">
      <c r="A51" s="89" t="str">
        <f>IF($K51="","",47)</f>
        <v/>
      </c>
      <c r="B51" s="89" t="str">
        <f>IF($K51="","",INDEX(Autodiagnostic!$A$1:$A$78,$K51))</f>
        <v/>
      </c>
      <c r="C51" s="89" t="str">
        <f>IF($K51="","",INDEX(Autodiagnostic!$B$1:$B$78,$K51))</f>
        <v/>
      </c>
      <c r="D51" s="89" t="str">
        <f>IF($K51="","",INDEX(Autodiagnostic!$D$1:$D$78,$K51))</f>
        <v/>
      </c>
      <c r="E51" s="89" t="str">
        <f>IF($K51="","",INDEX(Autodiagnostic!$I$1:$I$78,$K51))</f>
        <v/>
      </c>
      <c r="F51" s="89" t="str">
        <f>IF($K51="","",INDEX(Autodiagnostic!$F$1:$F$78,$K51))</f>
        <v/>
      </c>
      <c r="G51" s="89" t="str">
        <f>IF($K51="","",INDEX(Autodiagnostic!$G$1:$G$78,$K51))</f>
        <v/>
      </c>
      <c r="H51" s="89" t="str">
        <f>IF($K51="","",INDEX(Autodiagnostic!$H$1:$H$78,$K51))</f>
        <v/>
      </c>
      <c r="K51" s="5" t="str">
        <f>IFERROR(MOD(SMALL($L$5:$L$81,47),1000),"")</f>
        <v/>
      </c>
      <c r="L51" s="5" t="str">
        <f>IF(Autodiagnostic!I48="","",48)</f>
        <v/>
      </c>
    </row>
    <row r="52" spans="1:12" ht="30.75" customHeight="1">
      <c r="A52" s="89" t="str">
        <f>IF($K52="","",48)</f>
        <v/>
      </c>
      <c r="B52" s="89" t="str">
        <f>IF($K52="","",INDEX(Autodiagnostic!$A$1:$A$78,$K52))</f>
        <v/>
      </c>
      <c r="C52" s="89" t="str">
        <f>IF($K52="","",INDEX(Autodiagnostic!$B$1:$B$78,$K52))</f>
        <v/>
      </c>
      <c r="D52" s="89" t="str">
        <f>IF($K52="","",INDEX(Autodiagnostic!$D$1:$D$78,$K52))</f>
        <v/>
      </c>
      <c r="E52" s="89" t="str">
        <f>IF($K52="","",INDEX(Autodiagnostic!$I$1:$I$78,$K52))</f>
        <v/>
      </c>
      <c r="F52" s="89" t="str">
        <f>IF($K52="","",INDEX(Autodiagnostic!$F$1:$F$78,$K52))</f>
        <v/>
      </c>
      <c r="G52" s="89" t="str">
        <f>IF($K52="","",INDEX(Autodiagnostic!$G$1:$G$78,$K52))</f>
        <v/>
      </c>
      <c r="H52" s="89" t="str">
        <f>IF($K52="","",INDEX(Autodiagnostic!$H$1:$H$78,$K52))</f>
        <v/>
      </c>
      <c r="K52" s="5" t="str">
        <f>IFERROR(MOD(SMALL($L$5:$L$81,48),1000),"")</f>
        <v/>
      </c>
      <c r="L52" s="5" t="str">
        <f>IF(Autodiagnostic!I49="","",49)</f>
        <v/>
      </c>
    </row>
    <row r="53" spans="1:12" ht="30.75" customHeight="1">
      <c r="A53" s="89" t="str">
        <f>IF($K53="","",49)</f>
        <v/>
      </c>
      <c r="B53" s="89" t="str">
        <f>IF($K53="","",INDEX(Autodiagnostic!$A$1:$A$78,$K53))</f>
        <v/>
      </c>
      <c r="C53" s="89" t="str">
        <f>IF($K53="","",INDEX(Autodiagnostic!$B$1:$B$78,$K53))</f>
        <v/>
      </c>
      <c r="D53" s="89" t="str">
        <f>IF($K53="","",INDEX(Autodiagnostic!$D$1:$D$78,$K53))</f>
        <v/>
      </c>
      <c r="E53" s="89" t="str">
        <f>IF($K53="","",INDEX(Autodiagnostic!$I$1:$I$78,$K53))</f>
        <v/>
      </c>
      <c r="F53" s="89" t="str">
        <f>IF($K53="","",INDEX(Autodiagnostic!$F$1:$F$78,$K53))</f>
        <v/>
      </c>
      <c r="G53" s="89" t="str">
        <f>IF($K53="","",INDEX(Autodiagnostic!$G$1:$G$78,$K53))</f>
        <v/>
      </c>
      <c r="H53" s="89" t="str">
        <f>IF($K53="","",INDEX(Autodiagnostic!$H$1:$H$78,$K53))</f>
        <v/>
      </c>
      <c r="K53" s="5" t="str">
        <f>IFERROR(MOD(SMALL($L$5:$L$81,49),1000),"")</f>
        <v/>
      </c>
      <c r="L53" s="5" t="str">
        <f>IF(Autodiagnostic!I50="","",50)</f>
        <v/>
      </c>
    </row>
    <row r="54" spans="1:12" ht="30.75" customHeight="1">
      <c r="A54" s="89" t="str">
        <f>IF($K54="","",50)</f>
        <v/>
      </c>
      <c r="B54" s="89" t="str">
        <f>IF($K54="","",INDEX(Autodiagnostic!$A$1:$A$78,$K54))</f>
        <v/>
      </c>
      <c r="C54" s="89" t="str">
        <f>IF($K54="","",INDEX(Autodiagnostic!$B$1:$B$78,$K54))</f>
        <v/>
      </c>
      <c r="D54" s="89" t="str">
        <f>IF($K54="","",INDEX(Autodiagnostic!$D$1:$D$78,$K54))</f>
        <v/>
      </c>
      <c r="E54" s="89" t="str">
        <f>IF($K54="","",INDEX(Autodiagnostic!$I$1:$I$78,$K54))</f>
        <v/>
      </c>
      <c r="F54" s="89" t="str">
        <f>IF($K54="","",INDEX(Autodiagnostic!$F$1:$F$78,$K54))</f>
        <v/>
      </c>
      <c r="G54" s="89" t="str">
        <f>IF($K54="","",INDEX(Autodiagnostic!$G$1:$G$78,$K54))</f>
        <v/>
      </c>
      <c r="H54" s="89" t="str">
        <f>IF($K54="","",INDEX(Autodiagnostic!$H$1:$H$78,$K54))</f>
        <v/>
      </c>
      <c r="K54" s="5" t="str">
        <f>IFERROR(MOD(SMALL($L$5:$L$81,50),1000),"")</f>
        <v/>
      </c>
      <c r="L54" s="5" t="str">
        <f>IF(Autodiagnostic!I51="","",51)</f>
        <v/>
      </c>
    </row>
    <row r="55" spans="1:12" ht="30.75" customHeight="1">
      <c r="A55" s="89" t="str">
        <f>IF($K55="","",51)</f>
        <v/>
      </c>
      <c r="B55" s="89" t="str">
        <f>IF($K55="","",INDEX(Autodiagnostic!$A$1:$A$78,$K55))</f>
        <v/>
      </c>
      <c r="C55" s="89" t="str">
        <f>IF($K55="","",INDEX(Autodiagnostic!$B$1:$B$78,$K55))</f>
        <v/>
      </c>
      <c r="D55" s="89" t="str">
        <f>IF($K55="","",INDEX(Autodiagnostic!$D$1:$D$78,$K55))</f>
        <v/>
      </c>
      <c r="E55" s="89" t="str">
        <f>IF($K55="","",INDEX(Autodiagnostic!$I$1:$I$78,$K55))</f>
        <v/>
      </c>
      <c r="F55" s="89" t="str">
        <f>IF($K55="","",INDEX(Autodiagnostic!$F$1:$F$78,$K55))</f>
        <v/>
      </c>
      <c r="G55" s="89" t="str">
        <f>IF($K55="","",INDEX(Autodiagnostic!$G$1:$G$78,$K55))</f>
        <v/>
      </c>
      <c r="H55" s="89" t="str">
        <f>IF($K55="","",INDEX(Autodiagnostic!$H$1:$H$78,$K55))</f>
        <v/>
      </c>
      <c r="K55" s="5" t="str">
        <f>IFERROR(MOD(SMALL($L$5:$L$81,51),1000),"")</f>
        <v/>
      </c>
      <c r="L55" s="5" t="str">
        <f>IF(Autodiagnostic!I52="","",52)</f>
        <v/>
      </c>
    </row>
    <row r="56" spans="1:12" ht="30.75" customHeight="1">
      <c r="A56" s="89" t="str">
        <f>IF($K56="","",52)</f>
        <v/>
      </c>
      <c r="B56" s="89" t="str">
        <f>IF($K56="","",INDEX(Autodiagnostic!$A$1:$A$78,$K56))</f>
        <v/>
      </c>
      <c r="C56" s="89" t="str">
        <f>IF($K56="","",INDEX(Autodiagnostic!$B$1:$B$78,$K56))</f>
        <v/>
      </c>
      <c r="D56" s="89" t="str">
        <f>IF($K56="","",INDEX(Autodiagnostic!$D$1:$D$78,$K56))</f>
        <v/>
      </c>
      <c r="E56" s="89" t="str">
        <f>IF($K56="","",INDEX(Autodiagnostic!$I$1:$I$78,$K56))</f>
        <v/>
      </c>
      <c r="F56" s="89" t="str">
        <f>IF($K56="","",INDEX(Autodiagnostic!$F$1:$F$78,$K56))</f>
        <v/>
      </c>
      <c r="G56" s="89" t="str">
        <f>IF($K56="","",INDEX(Autodiagnostic!$G$1:$G$78,$K56))</f>
        <v/>
      </c>
      <c r="H56" s="89" t="str">
        <f>IF($K56="","",INDEX(Autodiagnostic!$H$1:$H$78,$K56))</f>
        <v/>
      </c>
      <c r="K56" s="5" t="str">
        <f>IFERROR(MOD(SMALL($L$5:$L$81,52),1000),"")</f>
        <v/>
      </c>
      <c r="L56" s="5" t="str">
        <f>IF(Autodiagnostic!I53="","",53)</f>
        <v/>
      </c>
    </row>
    <row r="57" spans="1:12" ht="30.75" customHeight="1">
      <c r="A57" s="89" t="str">
        <f>IF($K57="","",53)</f>
        <v/>
      </c>
      <c r="B57" s="89" t="str">
        <f>IF($K57="","",INDEX(Autodiagnostic!$A$1:$A$78,$K57))</f>
        <v/>
      </c>
      <c r="C57" s="89" t="str">
        <f>IF($K57="","",INDEX(Autodiagnostic!$B$1:$B$78,$K57))</f>
        <v/>
      </c>
      <c r="D57" s="89" t="str">
        <f>IF($K57="","",INDEX(Autodiagnostic!$D$1:$D$78,$K57))</f>
        <v/>
      </c>
      <c r="E57" s="89" t="str">
        <f>IF($K57="","",INDEX(Autodiagnostic!$I$1:$I$78,$K57))</f>
        <v/>
      </c>
      <c r="F57" s="89" t="str">
        <f>IF($K57="","",INDEX(Autodiagnostic!$F$1:$F$78,$K57))</f>
        <v/>
      </c>
      <c r="G57" s="89" t="str">
        <f>IF($K57="","",INDEX(Autodiagnostic!$G$1:$G$78,$K57))</f>
        <v/>
      </c>
      <c r="H57" s="89" t="str">
        <f>IF($K57="","",INDEX(Autodiagnostic!$H$1:$H$78,$K57))</f>
        <v/>
      </c>
      <c r="K57" s="5" t="str">
        <f>IFERROR(MOD(SMALL($L$5:$L$81,53),1000),"")</f>
        <v/>
      </c>
      <c r="L57" s="5" t="str">
        <f>IF(Autodiagnostic!I54="","",54)</f>
        <v/>
      </c>
    </row>
    <row r="58" spans="1:12" ht="30.75" customHeight="1">
      <c r="A58" s="89" t="str">
        <f>IF($K58="","",54)</f>
        <v/>
      </c>
      <c r="B58" s="89" t="str">
        <f>IF($K58="","",INDEX(Autodiagnostic!$A$1:$A$78,$K58))</f>
        <v/>
      </c>
      <c r="C58" s="89" t="str">
        <f>IF($K58="","",INDEX(Autodiagnostic!$B$1:$B$78,$K58))</f>
        <v/>
      </c>
      <c r="D58" s="89" t="str">
        <f>IF($K58="","",INDEX(Autodiagnostic!$D$1:$D$78,$K58))</f>
        <v/>
      </c>
      <c r="E58" s="89" t="str">
        <f>IF($K58="","",INDEX(Autodiagnostic!$I$1:$I$78,$K58))</f>
        <v/>
      </c>
      <c r="F58" s="89" t="str">
        <f>IF($K58="","",INDEX(Autodiagnostic!$F$1:$F$78,$K58))</f>
        <v/>
      </c>
      <c r="G58" s="89" t="str">
        <f>IF($K58="","",INDEX(Autodiagnostic!$G$1:$G$78,$K58))</f>
        <v/>
      </c>
      <c r="H58" s="89" t="str">
        <f>IF($K58="","",INDEX(Autodiagnostic!$H$1:$H$78,$K58))</f>
        <v/>
      </c>
      <c r="K58" s="5" t="str">
        <f>IFERROR(MOD(SMALL($L$5:$L$81,54),1000),"")</f>
        <v/>
      </c>
      <c r="L58" s="5" t="str">
        <f>IF(Autodiagnostic!I55="","",55)</f>
        <v/>
      </c>
    </row>
    <row r="59" spans="1:12" ht="30.75" customHeight="1">
      <c r="A59" s="89" t="str">
        <f>IF($K59="","",55)</f>
        <v/>
      </c>
      <c r="B59" s="89" t="str">
        <f>IF($K59="","",INDEX(Autodiagnostic!$A$1:$A$78,$K59))</f>
        <v/>
      </c>
      <c r="C59" s="89" t="str">
        <f>IF($K59="","",INDEX(Autodiagnostic!$B$1:$B$78,$K59))</f>
        <v/>
      </c>
      <c r="D59" s="89" t="str">
        <f>IF($K59="","",INDEX(Autodiagnostic!$D$1:$D$78,$K59))</f>
        <v/>
      </c>
      <c r="E59" s="89" t="str">
        <f>IF($K59="","",INDEX(Autodiagnostic!$I$1:$I$78,$K59))</f>
        <v/>
      </c>
      <c r="F59" s="89" t="str">
        <f>IF($K59="","",INDEX(Autodiagnostic!$F$1:$F$78,$K59))</f>
        <v/>
      </c>
      <c r="G59" s="89" t="str">
        <f>IF($K59="","",INDEX(Autodiagnostic!$G$1:$G$78,$K59))</f>
        <v/>
      </c>
      <c r="H59" s="89" t="str">
        <f>IF($K59="","",INDEX(Autodiagnostic!$H$1:$H$78,$K59))</f>
        <v/>
      </c>
      <c r="K59" s="5" t="str">
        <f>IFERROR(MOD(SMALL($L$5:$L$81,55),1000),"")</f>
        <v/>
      </c>
      <c r="L59" s="5" t="str">
        <f>IF(Autodiagnostic!I56="","",56)</f>
        <v/>
      </c>
    </row>
    <row r="60" spans="1:12" ht="30.75" customHeight="1">
      <c r="A60" s="89" t="str">
        <f>IF($K60="","",56)</f>
        <v/>
      </c>
      <c r="B60" s="89" t="str">
        <f>IF($K60="","",INDEX(Autodiagnostic!$A$1:$A$78,$K60))</f>
        <v/>
      </c>
      <c r="C60" s="89" t="str">
        <f>IF($K60="","",INDEX(Autodiagnostic!$B$1:$B$78,$K60))</f>
        <v/>
      </c>
      <c r="D60" s="89" t="str">
        <f>IF($K60="","",INDEX(Autodiagnostic!$D$1:$D$78,$K60))</f>
        <v/>
      </c>
      <c r="E60" s="89" t="str">
        <f>IF($K60="","",INDEX(Autodiagnostic!$I$1:$I$78,$K60))</f>
        <v/>
      </c>
      <c r="F60" s="89" t="str">
        <f>IF($K60="","",INDEX(Autodiagnostic!$F$1:$F$78,$K60))</f>
        <v/>
      </c>
      <c r="G60" s="89" t="str">
        <f>IF($K60="","",INDEX(Autodiagnostic!$G$1:$G$78,$K60))</f>
        <v/>
      </c>
      <c r="H60" s="89" t="str">
        <f>IF($K60="","",INDEX(Autodiagnostic!$H$1:$H$78,$K60))</f>
        <v/>
      </c>
      <c r="K60" s="5" t="str">
        <f>IFERROR(MOD(SMALL($L$5:$L$81,56),1000),"")</f>
        <v/>
      </c>
      <c r="L60" s="5" t="str">
        <f>IF(Autodiagnostic!I57="","",57)</f>
        <v/>
      </c>
    </row>
    <row r="61" spans="1:12" ht="30.75" customHeight="1">
      <c r="A61" s="89" t="str">
        <f>IF($K61="","",57)</f>
        <v/>
      </c>
      <c r="B61" s="89" t="str">
        <f>IF($K61="","",INDEX(Autodiagnostic!$A$1:$A$78,$K61))</f>
        <v/>
      </c>
      <c r="C61" s="89" t="str">
        <f>IF($K61="","",INDEX(Autodiagnostic!$B$1:$B$78,$K61))</f>
        <v/>
      </c>
      <c r="D61" s="89" t="str">
        <f>IF($K61="","",INDEX(Autodiagnostic!$D$1:$D$78,$K61))</f>
        <v/>
      </c>
      <c r="E61" s="89" t="str">
        <f>IF($K61="","",INDEX(Autodiagnostic!$I$1:$I$78,$K61))</f>
        <v/>
      </c>
      <c r="F61" s="89" t="str">
        <f>IF($K61="","",INDEX(Autodiagnostic!$F$1:$F$78,$K61))</f>
        <v/>
      </c>
      <c r="G61" s="89" t="str">
        <f>IF($K61="","",INDEX(Autodiagnostic!$G$1:$G$78,$K61))</f>
        <v/>
      </c>
      <c r="H61" s="89" t="str">
        <f>IF($K61="","",INDEX(Autodiagnostic!$H$1:$H$78,$K61))</f>
        <v/>
      </c>
      <c r="K61" s="5" t="str">
        <f>IFERROR(MOD(SMALL($L$5:$L$81,57),1000),"")</f>
        <v/>
      </c>
      <c r="L61" s="5" t="str">
        <f>IF(Autodiagnostic!I58="","",58)</f>
        <v/>
      </c>
    </row>
    <row r="62" spans="1:12" ht="30.75" customHeight="1">
      <c r="A62" s="89" t="str">
        <f>IF($K62="","",58)</f>
        <v/>
      </c>
      <c r="B62" s="89" t="str">
        <f>IF($K62="","",INDEX(Autodiagnostic!$A$1:$A$78,$K62))</f>
        <v/>
      </c>
      <c r="C62" s="89" t="str">
        <f>IF($K62="","",INDEX(Autodiagnostic!$B$1:$B$78,$K62))</f>
        <v/>
      </c>
      <c r="D62" s="89" t="str">
        <f>IF($K62="","",INDEX(Autodiagnostic!$D$1:$D$78,$K62))</f>
        <v/>
      </c>
      <c r="E62" s="89" t="str">
        <f>IF($K62="","",INDEX(Autodiagnostic!$I$1:$I$78,$K62))</f>
        <v/>
      </c>
      <c r="F62" s="89" t="str">
        <f>IF($K62="","",INDEX(Autodiagnostic!$F$1:$F$78,$K62))</f>
        <v/>
      </c>
      <c r="G62" s="89" t="str">
        <f>IF($K62="","",INDEX(Autodiagnostic!$G$1:$G$78,$K62))</f>
        <v/>
      </c>
      <c r="H62" s="89" t="str">
        <f>IF($K62="","",INDEX(Autodiagnostic!$H$1:$H$78,$K62))</f>
        <v/>
      </c>
      <c r="K62" s="5" t="str">
        <f>IFERROR(MOD(SMALL($L$5:$L$81,58),1000),"")</f>
        <v/>
      </c>
      <c r="L62" s="5" t="str">
        <f>IF(Autodiagnostic!I59="","",59)</f>
        <v/>
      </c>
    </row>
    <row r="63" spans="1:12" ht="30.75" customHeight="1">
      <c r="A63" s="89" t="str">
        <f>IF($K63="","",59)</f>
        <v/>
      </c>
      <c r="B63" s="89" t="str">
        <f>IF($K63="","",INDEX(Autodiagnostic!$A$1:$A$78,$K63))</f>
        <v/>
      </c>
      <c r="C63" s="89" t="str">
        <f>IF($K63="","",INDEX(Autodiagnostic!$B$1:$B$78,$K63))</f>
        <v/>
      </c>
      <c r="D63" s="89" t="str">
        <f>IF($K63="","",INDEX(Autodiagnostic!$D$1:$D$78,$K63))</f>
        <v/>
      </c>
      <c r="E63" s="89" t="str">
        <f>IF($K63="","",INDEX(Autodiagnostic!$I$1:$I$78,$K63))</f>
        <v/>
      </c>
      <c r="F63" s="89" t="str">
        <f>IF($K63="","",INDEX(Autodiagnostic!$F$1:$F$78,$K63))</f>
        <v/>
      </c>
      <c r="G63" s="89" t="str">
        <f>IF($K63="","",INDEX(Autodiagnostic!$G$1:$G$78,$K63))</f>
        <v/>
      </c>
      <c r="H63" s="89" t="str">
        <f>IF($K63="","",INDEX(Autodiagnostic!$H$1:$H$78,$K63))</f>
        <v/>
      </c>
      <c r="K63" s="5" t="str">
        <f>IFERROR(MOD(SMALL($L$5:$L$81,59),1000),"")</f>
        <v/>
      </c>
      <c r="L63" s="5" t="str">
        <f>IF(Autodiagnostic!I60="","",60)</f>
        <v/>
      </c>
    </row>
    <row r="64" spans="1:12" ht="30.75" customHeight="1">
      <c r="A64" s="89" t="str">
        <f>IF($K64="","",60)</f>
        <v/>
      </c>
      <c r="B64" s="89" t="str">
        <f>IF($K64="","",INDEX(Autodiagnostic!$A$1:$A$78,$K64))</f>
        <v/>
      </c>
      <c r="C64" s="89" t="str">
        <f>IF($K64="","",INDEX(Autodiagnostic!$B$1:$B$78,$K64))</f>
        <v/>
      </c>
      <c r="D64" s="89" t="str">
        <f>IF($K64="","",INDEX(Autodiagnostic!$D$1:$D$78,$K64))</f>
        <v/>
      </c>
      <c r="E64" s="89" t="str">
        <f>IF($K64="","",INDEX(Autodiagnostic!$I$1:$I$78,$K64))</f>
        <v/>
      </c>
      <c r="F64" s="89" t="str">
        <f>IF($K64="","",INDEX(Autodiagnostic!$F$1:$F$78,$K64))</f>
        <v/>
      </c>
      <c r="G64" s="89" t="str">
        <f>IF($K64="","",INDEX(Autodiagnostic!$G$1:$G$78,$K64))</f>
        <v/>
      </c>
      <c r="H64" s="89" t="str">
        <f>IF($K64="","",INDEX(Autodiagnostic!$H$1:$H$78,$K64))</f>
        <v/>
      </c>
      <c r="K64" s="5" t="str">
        <f>IFERROR(MOD(SMALL($L$5:$L$81,60),1000),"")</f>
        <v/>
      </c>
      <c r="L64" s="5" t="str">
        <f>IF(Autodiagnostic!I61="","",61)</f>
        <v/>
      </c>
    </row>
    <row r="65" spans="1:12" ht="30.75" customHeight="1">
      <c r="A65" s="89" t="str">
        <f>IF($K65="","",61)</f>
        <v/>
      </c>
      <c r="B65" s="89" t="str">
        <f>IF($K65="","",INDEX(Autodiagnostic!$A$1:$A$78,$K65))</f>
        <v/>
      </c>
      <c r="C65" s="89" t="str">
        <f>IF($K65="","",INDEX(Autodiagnostic!$B$1:$B$78,$K65))</f>
        <v/>
      </c>
      <c r="D65" s="89" t="str">
        <f>IF($K65="","",INDEX(Autodiagnostic!$D$1:$D$78,$K65))</f>
        <v/>
      </c>
      <c r="E65" s="89" t="str">
        <f>IF($K65="","",INDEX(Autodiagnostic!$I$1:$I$78,$K65))</f>
        <v/>
      </c>
      <c r="F65" s="89" t="str">
        <f>IF($K65="","",INDEX(Autodiagnostic!$F$1:$F$78,$K65))</f>
        <v/>
      </c>
      <c r="G65" s="89" t="str">
        <f>IF($K65="","",INDEX(Autodiagnostic!$G$1:$G$78,$K65))</f>
        <v/>
      </c>
      <c r="H65" s="89" t="str">
        <f>IF($K65="","",INDEX(Autodiagnostic!$H$1:$H$78,$K65))</f>
        <v/>
      </c>
      <c r="K65" s="5" t="str">
        <f>IFERROR(MOD(SMALL($L$5:$L$81,61),1000),"")</f>
        <v/>
      </c>
      <c r="L65" s="5" t="str">
        <f>IF(Autodiagnostic!I62="","",62)</f>
        <v/>
      </c>
    </row>
    <row r="66" spans="1:12" ht="30.75" customHeight="1">
      <c r="A66" s="89" t="str">
        <f>IF($K66="","",62)</f>
        <v/>
      </c>
      <c r="B66" s="89" t="str">
        <f>IF($K66="","",INDEX(Autodiagnostic!$A$1:$A$78,$K66))</f>
        <v/>
      </c>
      <c r="C66" s="89" t="str">
        <f>IF($K66="","",INDEX(Autodiagnostic!$B$1:$B$78,$K66))</f>
        <v/>
      </c>
      <c r="D66" s="89" t="str">
        <f>IF($K66="","",INDEX(Autodiagnostic!$D$1:$D$78,$K66))</f>
        <v/>
      </c>
      <c r="E66" s="89" t="str">
        <f>IF($K66="","",INDEX(Autodiagnostic!$I$1:$I$78,$K66))</f>
        <v/>
      </c>
      <c r="F66" s="89" t="str">
        <f>IF($K66="","",INDEX(Autodiagnostic!$F$1:$F$78,$K66))</f>
        <v/>
      </c>
      <c r="G66" s="89" t="str">
        <f>IF($K66="","",INDEX(Autodiagnostic!$G$1:$G$78,$K66))</f>
        <v/>
      </c>
      <c r="H66" s="89" t="str">
        <f>IF($K66="","",INDEX(Autodiagnostic!$H$1:$H$78,$K66))</f>
        <v/>
      </c>
      <c r="K66" s="5" t="str">
        <f>IFERROR(MOD(SMALL($L$5:$L$81,62),1000),"")</f>
        <v/>
      </c>
      <c r="L66" s="5" t="str">
        <f>IF(Autodiagnostic!I63="","",63)</f>
        <v/>
      </c>
    </row>
    <row r="67" spans="1:12" ht="30.75" customHeight="1">
      <c r="A67" s="89" t="str">
        <f>IF($K67="","",63)</f>
        <v/>
      </c>
      <c r="B67" s="89" t="str">
        <f>IF($K67="","",INDEX(Autodiagnostic!$A$1:$A$78,$K67))</f>
        <v/>
      </c>
      <c r="C67" s="89" t="str">
        <f>IF($K67="","",INDEX(Autodiagnostic!$B$1:$B$78,$K67))</f>
        <v/>
      </c>
      <c r="D67" s="89" t="str">
        <f>IF($K67="","",INDEX(Autodiagnostic!$D$1:$D$78,$K67))</f>
        <v/>
      </c>
      <c r="E67" s="89" t="str">
        <f>IF($K67="","",INDEX(Autodiagnostic!$I$1:$I$78,$K67))</f>
        <v/>
      </c>
      <c r="F67" s="89" t="str">
        <f>IF($K67="","",INDEX(Autodiagnostic!$F$1:$F$78,$K67))</f>
        <v/>
      </c>
      <c r="G67" s="89" t="str">
        <f>IF($K67="","",INDEX(Autodiagnostic!$G$1:$G$78,$K67))</f>
        <v/>
      </c>
      <c r="H67" s="89" t="str">
        <f>IF($K67="","",INDEX(Autodiagnostic!$H$1:$H$78,$K67))</f>
        <v/>
      </c>
      <c r="K67" s="5" t="str">
        <f>IFERROR(MOD(SMALL($L$5:$L$81,63),1000),"")</f>
        <v/>
      </c>
      <c r="L67" s="5" t="str">
        <f>IF(Autodiagnostic!I64="","",64)</f>
        <v/>
      </c>
    </row>
    <row r="68" spans="1:12" ht="30.75" customHeight="1">
      <c r="A68" s="89" t="str">
        <f>IF($K68="","",64)</f>
        <v/>
      </c>
      <c r="B68" s="89" t="str">
        <f>IF($K68="","",INDEX(Autodiagnostic!$A$1:$A$78,$K68))</f>
        <v/>
      </c>
      <c r="C68" s="89" t="str">
        <f>IF($K68="","",INDEX(Autodiagnostic!$B$1:$B$78,$K68))</f>
        <v/>
      </c>
      <c r="D68" s="89" t="str">
        <f>IF($K68="","",INDEX(Autodiagnostic!$D$1:$D$78,$K68))</f>
        <v/>
      </c>
      <c r="E68" s="89" t="str">
        <f>IF($K68="","",INDEX(Autodiagnostic!$I$1:$I$78,$K68))</f>
        <v/>
      </c>
      <c r="F68" s="89" t="str">
        <f>IF($K68="","",INDEX(Autodiagnostic!$F$1:$F$78,$K68))</f>
        <v/>
      </c>
      <c r="G68" s="89" t="str">
        <f>IF($K68="","",INDEX(Autodiagnostic!$G$1:$G$78,$K68))</f>
        <v/>
      </c>
      <c r="H68" s="89" t="str">
        <f>IF($K68="","",INDEX(Autodiagnostic!$H$1:$H$78,$K68))</f>
        <v/>
      </c>
      <c r="K68" s="5" t="str">
        <f>IFERROR(MOD(SMALL($L$5:$L$81,64),1000),"")</f>
        <v/>
      </c>
      <c r="L68" s="5" t="str">
        <f>IF(Autodiagnostic!I65="","",65)</f>
        <v/>
      </c>
    </row>
    <row r="69" spans="1:12" ht="30.75" customHeight="1">
      <c r="A69" s="89" t="str">
        <f>IF($K69="","",65)</f>
        <v/>
      </c>
      <c r="B69" s="89" t="str">
        <f>IF($K69="","",INDEX(Autodiagnostic!$A$1:$A$78,$K69))</f>
        <v/>
      </c>
      <c r="C69" s="89" t="str">
        <f>IF($K69="","",INDEX(Autodiagnostic!$B$1:$B$78,$K69))</f>
        <v/>
      </c>
      <c r="D69" s="89" t="str">
        <f>IF($K69="","",INDEX(Autodiagnostic!$D$1:$D$78,$K69))</f>
        <v/>
      </c>
      <c r="E69" s="89" t="str">
        <f>IF($K69="","",INDEX(Autodiagnostic!$I$1:$I$78,$K69))</f>
        <v/>
      </c>
      <c r="F69" s="89" t="str">
        <f>IF($K69="","",INDEX(Autodiagnostic!$F$1:$F$78,$K69))</f>
        <v/>
      </c>
      <c r="G69" s="89" t="str">
        <f>IF($K69="","",INDEX(Autodiagnostic!$G$1:$G$78,$K69))</f>
        <v/>
      </c>
      <c r="H69" s="89" t="str">
        <f>IF($K69="","",INDEX(Autodiagnostic!$H$1:$H$78,$K69))</f>
        <v/>
      </c>
      <c r="K69" s="5" t="str">
        <f>IFERROR(MOD(SMALL($L$5:$L$81,65),1000),"")</f>
        <v/>
      </c>
      <c r="L69" s="5" t="str">
        <f>IF(Autodiagnostic!I66="","",66)</f>
        <v/>
      </c>
    </row>
    <row r="70" spans="1:12" ht="30.75" customHeight="1">
      <c r="A70" s="89" t="str">
        <f>IF($K70="","",66)</f>
        <v/>
      </c>
      <c r="B70" s="89" t="str">
        <f>IF($K70="","",INDEX(Autodiagnostic!$A$1:$A$78,$K70))</f>
        <v/>
      </c>
      <c r="C70" s="89" t="str">
        <f>IF($K70="","",INDEX(Autodiagnostic!$B$1:$B$78,$K70))</f>
        <v/>
      </c>
      <c r="D70" s="89" t="str">
        <f>IF($K70="","",INDEX(Autodiagnostic!$D$1:$D$78,$K70))</f>
        <v/>
      </c>
      <c r="E70" s="89" t="str">
        <f>IF($K70="","",INDEX(Autodiagnostic!$I$1:$I$78,$K70))</f>
        <v/>
      </c>
      <c r="F70" s="89" t="str">
        <f>IF($K70="","",INDEX(Autodiagnostic!$F$1:$F$78,$K70))</f>
        <v/>
      </c>
      <c r="G70" s="89" t="str">
        <f>IF($K70="","",INDEX(Autodiagnostic!$G$1:$G$78,$K70))</f>
        <v/>
      </c>
      <c r="H70" s="89" t="str">
        <f>IF($K70="","",INDEX(Autodiagnostic!$H$1:$H$78,$K70))</f>
        <v/>
      </c>
      <c r="K70" s="5" t="str">
        <f>IFERROR(MOD(SMALL($L$5:$L$81,66),1000),"")</f>
        <v/>
      </c>
      <c r="L70" s="5" t="str">
        <f>IF(Autodiagnostic!I67="","",67)</f>
        <v/>
      </c>
    </row>
    <row r="71" spans="1:12" ht="30.75" customHeight="1">
      <c r="A71" s="89" t="str">
        <f>IF($K71="","",67)</f>
        <v/>
      </c>
      <c r="B71" s="89" t="str">
        <f>IF($K71="","",INDEX(Autodiagnostic!$A$1:$A$78,$K71))</f>
        <v/>
      </c>
      <c r="C71" s="89" t="str">
        <f>IF($K71="","",INDEX(Autodiagnostic!$B$1:$B$78,$K71))</f>
        <v/>
      </c>
      <c r="D71" s="89" t="str">
        <f>IF($K71="","",INDEX(Autodiagnostic!$D$1:$D$78,$K71))</f>
        <v/>
      </c>
      <c r="E71" s="89" t="str">
        <f>IF($K71="","",INDEX(Autodiagnostic!$I$1:$I$78,$K71))</f>
        <v/>
      </c>
      <c r="F71" s="89" t="str">
        <f>IF($K71="","",INDEX(Autodiagnostic!$F$1:$F$78,$K71))</f>
        <v/>
      </c>
      <c r="G71" s="89" t="str">
        <f>IF($K71="","",INDEX(Autodiagnostic!$G$1:$G$78,$K71))</f>
        <v/>
      </c>
      <c r="H71" s="89" t="str">
        <f>IF($K71="","",INDEX(Autodiagnostic!$H$1:$H$78,$K71))</f>
        <v/>
      </c>
      <c r="K71" s="5" t="str">
        <f>IFERROR(MOD(SMALL($L$5:$L$81,67),1000),"")</f>
        <v/>
      </c>
      <c r="L71" s="5" t="str">
        <f>IF(Autodiagnostic!I69="","",69)</f>
        <v/>
      </c>
    </row>
    <row r="72" spans="1:12" ht="30.75" customHeight="1">
      <c r="A72" s="89" t="str">
        <f>IF($K72="","",68)</f>
        <v/>
      </c>
      <c r="B72" s="89" t="str">
        <f>IF($K72="","",INDEX(Autodiagnostic!$A$1:$A$78,$K72))</f>
        <v/>
      </c>
      <c r="C72" s="89" t="str">
        <f>IF($K72="","",INDEX(Autodiagnostic!$B$1:$B$78,$K72))</f>
        <v/>
      </c>
      <c r="D72" s="89" t="str">
        <f>IF($K72="","",INDEX(Autodiagnostic!$D$1:$D$78,$K72))</f>
        <v/>
      </c>
      <c r="E72" s="89" t="str">
        <f>IF($K72="","",INDEX(Autodiagnostic!$I$1:$I$78,$K72))</f>
        <v/>
      </c>
      <c r="F72" s="89" t="str">
        <f>IF($K72="","",INDEX(Autodiagnostic!$F$1:$F$78,$K72))</f>
        <v/>
      </c>
      <c r="G72" s="89" t="str">
        <f>IF($K72="","",INDEX(Autodiagnostic!$G$1:$G$78,$K72))</f>
        <v/>
      </c>
      <c r="H72" s="89" t="str">
        <f>IF($K72="","",INDEX(Autodiagnostic!$H$1:$H$78,$K72))</f>
        <v/>
      </c>
      <c r="K72" s="5" t="str">
        <f>IFERROR(MOD(SMALL($L$5:$L$81,68),1000),"")</f>
        <v/>
      </c>
      <c r="L72" s="5" t="str">
        <f>IF(Autodiagnostic!I68="","",68)</f>
        <v/>
      </c>
    </row>
    <row r="73" spans="1:12" ht="30.75" customHeight="1">
      <c r="A73" s="89" t="str">
        <f>IF($K73="","",69)</f>
        <v/>
      </c>
      <c r="B73" s="89" t="str">
        <f>IF($K73="","",INDEX(Autodiagnostic!$A$1:$A$78,$K73))</f>
        <v/>
      </c>
      <c r="C73" s="89" t="str">
        <f>IF($K73="","",INDEX(Autodiagnostic!$B$1:$B$78,$K73))</f>
        <v/>
      </c>
      <c r="D73" s="89" t="str">
        <f>IF($K73="","",INDEX(Autodiagnostic!$D$1:$D$78,$K73))</f>
        <v/>
      </c>
      <c r="E73" s="89" t="str">
        <f>IF($K73="","",INDEX(Autodiagnostic!$I$1:$I$78,$K73))</f>
        <v/>
      </c>
      <c r="F73" s="89" t="str">
        <f>IF($K73="","",INDEX(Autodiagnostic!$F$1:$F$78,$K73))</f>
        <v/>
      </c>
      <c r="G73" s="89" t="str">
        <f>IF($K73="","",INDEX(Autodiagnostic!$G$1:$G$78,$K73))</f>
        <v/>
      </c>
      <c r="H73" s="89" t="str">
        <f>IF($K73="","",INDEX(Autodiagnostic!$H$1:$H$78,$K73))</f>
        <v/>
      </c>
      <c r="K73" s="5" t="str">
        <f>IFERROR(MOD(SMALL($L$5:$L$81,69),1000),"")</f>
        <v/>
      </c>
      <c r="L73" s="5" t="str">
        <f>IF(Autodiagnostic!I70="","",70)</f>
        <v/>
      </c>
    </row>
    <row r="74" spans="1:12" ht="30.75" customHeight="1">
      <c r="A74" s="89" t="str">
        <f>IF($K74="","",70)</f>
        <v/>
      </c>
      <c r="B74" s="89" t="str">
        <f>IF($K74="","",INDEX(Autodiagnostic!$A$1:$A$78,$K74))</f>
        <v/>
      </c>
      <c r="C74" s="89" t="str">
        <f>IF($K74="","",INDEX(Autodiagnostic!$B$1:$B$78,$K74))</f>
        <v/>
      </c>
      <c r="D74" s="89" t="str">
        <f>IF($K74="","",INDEX(Autodiagnostic!$D$1:$D$78,$K74))</f>
        <v/>
      </c>
      <c r="E74" s="89" t="str">
        <f>IF($K74="","",INDEX(Autodiagnostic!$I$1:$I$78,$K74))</f>
        <v/>
      </c>
      <c r="F74" s="89" t="str">
        <f>IF($K74="","",INDEX(Autodiagnostic!$F$1:$F$78,$K74))</f>
        <v/>
      </c>
      <c r="G74" s="89" t="str">
        <f>IF($K74="","",INDEX(Autodiagnostic!$G$1:$G$78,$K74))</f>
        <v/>
      </c>
      <c r="H74" s="89" t="str">
        <f>IF($K74="","",INDEX(Autodiagnostic!$H$1:$H$78,$K74))</f>
        <v/>
      </c>
      <c r="K74" s="5" t="str">
        <f>IFERROR(MOD(SMALL($L$5:$L$81,70),1000),"")</f>
        <v/>
      </c>
      <c r="L74" s="5" t="str">
        <f>IF(Autodiagnostic!I71="","",71)</f>
        <v/>
      </c>
    </row>
    <row r="75" spans="1:12" ht="30.75" customHeight="1">
      <c r="A75" s="89" t="str">
        <f>IF($K75="","",71)</f>
        <v/>
      </c>
      <c r="B75" s="89" t="str">
        <f>IF($K75="","",INDEX(Autodiagnostic!$A$1:$A$78,$K75))</f>
        <v/>
      </c>
      <c r="C75" s="89" t="str">
        <f>IF($K75="","",INDEX(Autodiagnostic!$B$1:$B$78,$K75))</f>
        <v/>
      </c>
      <c r="D75" s="89" t="str">
        <f>IF($K75="","",INDEX(Autodiagnostic!$D$1:$D$78,$K75))</f>
        <v/>
      </c>
      <c r="E75" s="89" t="str">
        <f>IF($K75="","",INDEX(Autodiagnostic!$I$1:$I$78,$K75))</f>
        <v/>
      </c>
      <c r="F75" s="89" t="str">
        <f>IF($K75="","",INDEX(Autodiagnostic!$F$1:$F$78,$K75))</f>
        <v/>
      </c>
      <c r="G75" s="89" t="str">
        <f>IF($K75="","",INDEX(Autodiagnostic!$G$1:$G$78,$K75))</f>
        <v/>
      </c>
      <c r="H75" s="89" t="str">
        <f>IF($K75="","",INDEX(Autodiagnostic!$H$1:$H$78,$K75))</f>
        <v/>
      </c>
      <c r="K75" s="5" t="str">
        <f>IFERROR(MOD(SMALL($L$5:$L$81,71),1000),"")</f>
        <v/>
      </c>
      <c r="L75" s="5" t="str">
        <f>IF(Autodiagnostic!I72="","",72)</f>
        <v/>
      </c>
    </row>
    <row r="76" spans="1:12" ht="30.75" customHeight="1">
      <c r="A76" s="89" t="str">
        <f>IF($K76="","",72)</f>
        <v/>
      </c>
      <c r="B76" s="89" t="str">
        <f>IF($K76="","",INDEX(Autodiagnostic!$A$1:$A$78,$K76))</f>
        <v/>
      </c>
      <c r="C76" s="89" t="str">
        <f>IF($K76="","",INDEX(Autodiagnostic!$B$1:$B$78,$K76))</f>
        <v/>
      </c>
      <c r="D76" s="89" t="str">
        <f>IF($K76="","",INDEX(Autodiagnostic!$D$1:$D$78,$K76))</f>
        <v/>
      </c>
      <c r="E76" s="89" t="str">
        <f>IF($K76="","",INDEX(Autodiagnostic!$I$1:$I$78,$K76))</f>
        <v/>
      </c>
      <c r="F76" s="89" t="str">
        <f>IF($K76="","",INDEX(Autodiagnostic!$F$1:$F$78,$K76))</f>
        <v/>
      </c>
      <c r="G76" s="89" t="str">
        <f>IF($K76="","",INDEX(Autodiagnostic!$G$1:$G$78,$K76))</f>
        <v/>
      </c>
      <c r="H76" s="89" t="str">
        <f>IF($K76="","",INDEX(Autodiagnostic!$H$1:$H$78,$K76))</f>
        <v/>
      </c>
      <c r="K76" s="5" t="str">
        <f>IFERROR(MOD(SMALL($L$5:$L$81,72),1000),"")</f>
        <v/>
      </c>
      <c r="L76" s="5" t="str">
        <f>IF(Autodiagnostic!I73="","",73)</f>
        <v/>
      </c>
    </row>
    <row r="77" spans="1:12" ht="30.75" customHeight="1">
      <c r="A77" s="89" t="str">
        <f>IF($K77="","",73)</f>
        <v/>
      </c>
      <c r="B77" s="89" t="str">
        <f>IF($K77="","",INDEX(Autodiagnostic!$A$1:$A$78,$K77))</f>
        <v/>
      </c>
      <c r="C77" s="89" t="str">
        <f>IF($K77="","",INDEX(Autodiagnostic!$B$1:$B$78,$K77))</f>
        <v/>
      </c>
      <c r="D77" s="89" t="str">
        <f>IF($K77="","",INDEX(Autodiagnostic!$D$1:$D$78,$K77))</f>
        <v/>
      </c>
      <c r="E77" s="89" t="str">
        <f>IF($K77="","",INDEX(Autodiagnostic!$I$1:$I$78,$K77))</f>
        <v/>
      </c>
      <c r="F77" s="89" t="str">
        <f>IF($K77="","",INDEX(Autodiagnostic!$F$1:$F$78,$K77))</f>
        <v/>
      </c>
      <c r="G77" s="89" t="str">
        <f>IF($K77="","",INDEX(Autodiagnostic!$G$1:$G$78,$K77))</f>
        <v/>
      </c>
      <c r="H77" s="89" t="str">
        <f>IF($K77="","",INDEX(Autodiagnostic!$H$1:$H$78,$K77))</f>
        <v/>
      </c>
      <c r="K77" s="5" t="str">
        <f>IFERROR(MOD(SMALL($L$5:$L$81,73),1000),"")</f>
        <v/>
      </c>
      <c r="L77" s="5" t="str">
        <f>IF(Autodiagnostic!I74="","",74)</f>
        <v/>
      </c>
    </row>
    <row r="78" spans="1:12" ht="30.75" customHeight="1">
      <c r="A78" s="89" t="str">
        <f>IF($K78="","",74)</f>
        <v/>
      </c>
      <c r="B78" s="89" t="str">
        <f>IF($K78="","",INDEX(Autodiagnostic!$A$1:$A$78,$K78))</f>
        <v/>
      </c>
      <c r="C78" s="89" t="str">
        <f>IF($K78="","",INDEX(Autodiagnostic!$B$1:$B$78,$K78))</f>
        <v/>
      </c>
      <c r="D78" s="89" t="str">
        <f>IF($K78="","",INDEX(Autodiagnostic!$D$1:$D$78,$K78))</f>
        <v/>
      </c>
      <c r="E78" s="89" t="str">
        <f>IF($K78="","",INDEX(Autodiagnostic!$I$1:$I$78,$K78))</f>
        <v/>
      </c>
      <c r="F78" s="89" t="str">
        <f>IF($K78="","",INDEX(Autodiagnostic!$F$1:$F$78,$K78))</f>
        <v/>
      </c>
      <c r="G78" s="89" t="str">
        <f>IF($K78="","",INDEX(Autodiagnostic!$G$1:$G$78,$K78))</f>
        <v/>
      </c>
      <c r="H78" s="89" t="str">
        <f>IF($K78="","",INDEX(Autodiagnostic!$H$1:$H$78,$K78))</f>
        <v/>
      </c>
      <c r="K78" s="5" t="str">
        <f>IFERROR(MOD(SMALL($L$5:$L$81,74),1000),"")</f>
        <v/>
      </c>
      <c r="L78" s="5" t="str">
        <f>IF(Autodiagnostic!I75="","",75)</f>
        <v/>
      </c>
    </row>
    <row r="79" spans="1:12" ht="30.75" customHeight="1">
      <c r="A79" s="89" t="str">
        <f>IF($K79="","",75)</f>
        <v/>
      </c>
      <c r="B79" s="89" t="str">
        <f>IF($K79="","",INDEX(Autodiagnostic!$A$1:$A$78,$K79))</f>
        <v/>
      </c>
      <c r="C79" s="89" t="str">
        <f>IF($K79="","",INDEX(Autodiagnostic!$B$1:$B$78,$K79))</f>
        <v/>
      </c>
      <c r="D79" s="89" t="str">
        <f>IF($K79="","",INDEX(Autodiagnostic!$D$1:$D$78,$K79))</f>
        <v/>
      </c>
      <c r="E79" s="89" t="str">
        <f>IF($K79="","",INDEX(Autodiagnostic!$I$1:$I$78,$K79))</f>
        <v/>
      </c>
      <c r="F79" s="89" t="str">
        <f>IF($K79="","",INDEX(Autodiagnostic!$F$1:$F$78,$K79))</f>
        <v/>
      </c>
      <c r="G79" s="89" t="str">
        <f>IF($K79="","",INDEX(Autodiagnostic!$G$1:$G$78,$K79))</f>
        <v/>
      </c>
      <c r="H79" s="89" t="str">
        <f>IF($K79="","",INDEX(Autodiagnostic!$H$1:$H$78,$K79))</f>
        <v/>
      </c>
      <c r="K79" s="5" t="str">
        <f>IFERROR(MOD(SMALL($L$5:$L$81,75),1000),"")</f>
        <v/>
      </c>
      <c r="L79" s="5" t="str">
        <f>IF(Autodiagnostic!I76="","",76)</f>
        <v/>
      </c>
    </row>
    <row r="80" spans="1:12" ht="30.75" customHeight="1">
      <c r="A80" s="89" t="str">
        <f>IF($K80="","",76)</f>
        <v/>
      </c>
      <c r="B80" s="89" t="str">
        <f>IF($K80="","",INDEX(Autodiagnostic!$A$1:$A$78,$K80))</f>
        <v/>
      </c>
      <c r="C80" s="89" t="str">
        <f>IF($K80="","",INDEX(Autodiagnostic!$B$1:$B$78,$K80))</f>
        <v/>
      </c>
      <c r="D80" s="89" t="str">
        <f>IF($K80="","",INDEX(Autodiagnostic!$D$1:$D$78,$K80))</f>
        <v/>
      </c>
      <c r="E80" s="89" t="str">
        <f>IF($K80="","",INDEX(Autodiagnostic!$I$1:$I$78,$K80))</f>
        <v/>
      </c>
      <c r="F80" s="89" t="str">
        <f>IF($K80="","",INDEX(Autodiagnostic!$F$1:$F$78,$K80))</f>
        <v/>
      </c>
      <c r="G80" s="89" t="str">
        <f>IF($K80="","",INDEX(Autodiagnostic!$G$1:$G$78,$K80))</f>
        <v/>
      </c>
      <c r="H80" s="89" t="str">
        <f>IF($K80="","",INDEX(Autodiagnostic!$H$1:$H$78,$K80))</f>
        <v/>
      </c>
      <c r="K80" s="5" t="str">
        <f>IFERROR(MOD(SMALL($L$5:$L$81,76),1000),"")</f>
        <v/>
      </c>
      <c r="L80" s="5" t="str">
        <f>IF(Autodiagnostic!I77="","",77)</f>
        <v/>
      </c>
    </row>
    <row r="81" spans="1:12" ht="30.75" customHeight="1">
      <c r="A81" s="89" t="str">
        <f>IF($K81="","",77)</f>
        <v/>
      </c>
      <c r="B81" s="89" t="str">
        <f>IF($K81="","",INDEX(Autodiagnostic!$A$1:$A$78,$K81))</f>
        <v/>
      </c>
      <c r="C81" s="89" t="str">
        <f>IF($K81="","",INDEX(Autodiagnostic!$B$1:$B$78,$K81))</f>
        <v/>
      </c>
      <c r="D81" s="89" t="str">
        <f>IF($K81="","",INDEX(Autodiagnostic!$D$1:$D$78,$K81))</f>
        <v/>
      </c>
      <c r="E81" s="89" t="str">
        <f>IF($K81="","",INDEX(Autodiagnostic!$I$1:$I$78,$K81))</f>
        <v/>
      </c>
      <c r="F81" s="89" t="str">
        <f>IF($K81="","",INDEX(Autodiagnostic!$F$1:$F$78,$K81))</f>
        <v/>
      </c>
      <c r="G81" s="89" t="str">
        <f>IF($K81="","",INDEX(Autodiagnostic!$G$1:$G$78,$K81))</f>
        <v/>
      </c>
      <c r="H81" s="89" t="str">
        <f>IF($K81="","",INDEX(Autodiagnostic!$H$1:$H$78,$K81))</f>
        <v/>
      </c>
      <c r="K81" s="5" t="str">
        <f>IFERROR(MOD(SMALL($L$5:$L$81,77),1000),"")</f>
        <v/>
      </c>
      <c r="L81" s="5" t="str">
        <f>IF(Autodiagnostic!I78="","",78)</f>
        <v/>
      </c>
    </row>
  </sheetData>
  <sheetProtection algorithmName="SHA-512" hashValue="tRYH5lR6RC59QlsBoDMjXfIYNZcoofB3/Ak+AXJPWLKn4g+nUeH95H5uu/a/R0paJrQcsJbdIuigRyriZXjAKg==" saltValue="Moq1TehKHzbzyymp+arB1w==" spinCount="100000" sheet="1" objects="1" scenarios="1" sort="0" autoFilter="0"/>
  <autoFilter ref="F4:G4" xr:uid="{00000000-0001-0000-0400-000000000000}"/>
  <mergeCells count="1">
    <mergeCell ref="B2:D2"/>
  </mergeCells>
  <conditionalFormatting sqref="F5:F81">
    <cfRule type="containsText" dxfId="5" priority="4" operator="containsText" text="3">
      <formula>NOT(ISERROR(SEARCH("3",F5)))</formula>
    </cfRule>
    <cfRule type="containsText" dxfId="4" priority="5" operator="containsText" text="2">
      <formula>NOT(ISERROR(SEARCH("2",F5)))</formula>
    </cfRule>
    <cfRule type="containsText" dxfId="3" priority="6" operator="containsText" text="1">
      <formula>NOT(ISERROR(SEARCH("1",F5)))</formula>
    </cfRule>
  </conditionalFormatting>
  <conditionalFormatting sqref="G5:G81">
    <cfRule type="containsText" dxfId="2" priority="1" operator="containsText" text="Fort">
      <formula>NOT(ISERROR(SEARCH("Fort",G5)))</formula>
    </cfRule>
    <cfRule type="containsText" dxfId="1" priority="2" operator="containsText" text="Moyen">
      <formula>NOT(ISERROR(SEARCH("Moyen",G5)))</formula>
    </cfRule>
    <cfRule type="containsText" dxfId="0" priority="3" operator="containsText" text="Faible">
      <formula>NOT(ISERROR(SEARCH("Faible",G5)))</formula>
    </cfRule>
  </conditionalFormatting>
  <pageMargins left="0.5" right="0.5"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7DEB57F840194A82CBE8E13EBEF125" ma:contentTypeVersion="4" ma:contentTypeDescription="Crée un document." ma:contentTypeScope="" ma:versionID="b2523acbe8f9f47b18c14ef57a34da81">
  <xsd:schema xmlns:xsd="http://www.w3.org/2001/XMLSchema" xmlns:xs="http://www.w3.org/2001/XMLSchema" xmlns:p="http://schemas.microsoft.com/office/2006/metadata/properties" xmlns:ns2="77a717ca-3ac4-4a96-92d9-bcfb3a3ae682" targetNamespace="http://schemas.microsoft.com/office/2006/metadata/properties" ma:root="true" ma:fieldsID="aea95df350549ed1df4d50edad0e041f" ns2:_="">
    <xsd:import namespace="77a717ca-3ac4-4a96-92d9-bcfb3a3ae6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a717ca-3ac4-4a96-92d9-bcfb3a3ae6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F77B82-577E-4E3D-AC52-75FC7E088EDA}"/>
</file>

<file path=customXml/itemProps2.xml><?xml version="1.0" encoding="utf-8"?>
<ds:datastoreItem xmlns:ds="http://schemas.openxmlformats.org/officeDocument/2006/customXml" ds:itemID="{C2EA9961-5268-4863-A939-CF46DBBA696B}"/>
</file>

<file path=customXml/itemProps3.xml><?xml version="1.0" encoding="utf-8"?>
<ds:datastoreItem xmlns:ds="http://schemas.openxmlformats.org/officeDocument/2006/customXml" ds:itemID="{60C3CA05-D61D-49FE-9C83-B5E9C7834A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Estelle Cuillerier</cp:lastModifiedBy>
  <cp:revision/>
  <dcterms:created xsi:type="dcterms:W3CDTF">2025-12-03T14:43:24Z</dcterms:created>
  <dcterms:modified xsi:type="dcterms:W3CDTF">2026-10-13T12:46:07Z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0x010100B07DEB57F840194A82CBE8E13EBEF125</vt:lpwstr>
  </property>
</Properties>
</file>